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sBpbgGS9xB2CwEN2Z70g/ypqG3DyLSJYaC4Fa4AP0r16WG108kgVsQSFdVzZgmst8IQlOwx2uRvzOss0oDdY+Q==" workbookSaltValue="lmjsbES5dFuNHD632YJg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AE32" i="20"/>
  <c r="AZ32" i="20"/>
  <c r="W32" i="20"/>
  <c r="AJ32" i="20"/>
  <c r="G30" i="14"/>
  <c r="G23" i="14"/>
  <c r="U18" i="11"/>
  <c r="AX32" i="20"/>
  <c r="Y32" i="20"/>
  <c r="L32" i="20"/>
  <c r="AG32" i="20"/>
  <c r="H32" i="20"/>
  <c r="T32" i="21"/>
  <c r="F32" i="20"/>
  <c r="AF32" i="20"/>
  <c r="G26" i="14"/>
  <c r="S32" i="20"/>
  <c r="K32" i="20"/>
  <c r="AQ32" i="21"/>
  <c r="O17" i="11"/>
  <c r="E32" i="20"/>
  <c r="AI32" i="20"/>
  <c r="AM32" i="20"/>
  <c r="U10" i="11"/>
  <c r="I32" i="20"/>
  <c r="J32" i="20"/>
  <c r="Q32" i="20"/>
  <c r="AK32" i="20"/>
  <c r="U12" i="11"/>
  <c r="AU32" i="20"/>
  <c r="G14" i="14"/>
  <c r="O18" i="11"/>
  <c r="R32" i="20"/>
  <c r="BF16" i="8" l="1"/>
  <c r="F16" i="11"/>
  <c r="AQ16" i="11" s="1"/>
  <c r="E23" i="12"/>
  <c r="T31" i="8"/>
  <c r="R13" i="17"/>
  <c r="P13" i="14"/>
  <c r="R13" i="14" s="1"/>
  <c r="BG17" i="13"/>
  <c r="R8" i="9"/>
  <c r="S10" i="14" s="1"/>
  <c r="V10" i="14" s="1"/>
  <c r="T9" i="11"/>
  <c r="BH1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K16" i="12"/>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L20" i="2"/>
  <c r="V10" i="16"/>
  <c r="V9"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K23" i="11" s="1"/>
  <c r="BL17" i="11"/>
  <c r="BH22" i="11"/>
  <c r="BH23" i="11" s="1"/>
  <c r="X12" i="17"/>
  <c r="L22" i="2"/>
  <c r="X22" i="16"/>
  <c r="S16" i="17"/>
  <c r="S17" i="17"/>
  <c r="L12" i="2"/>
  <c r="X19" i="16"/>
  <c r="X10" i="21"/>
  <c r="U9" i="17"/>
  <c r="U31" i="17" s="1"/>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L31" i="21"/>
  <c r="AQ17"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<sst xmlns="http://schemas.openxmlformats.org/spreadsheetml/2006/main" count="2649" uniqueCount="1184">
  <si>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</si>
  <si>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</si>
  <si>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</si>
  <si>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</si>
  <si>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</si>
  <si>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</si>
  <si>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</si>
  <si>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</si>
  <si>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</si>
  <si>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</si>
  <si>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</si>
  <si>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</si>
  <si>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</si>
  <si>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</si>
  <si>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</si>
  <si>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</si>
  <si>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</si>
  <si>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</si>
  <si>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</si>
  <si>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</si>
  <si>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</si>
  <si>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</si>
  <si>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</si>
  <si>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</si>
  <si>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</si>
  <si>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</si>
  <si>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</si>
  <si>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</si>
  <si>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</si>
  <si>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</si>
  <si>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</si>
  <si>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</si>
  <si>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</si>
  <si>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</si>
  <si>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</si>
  <si>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</si>
  <si>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</si>
  <si>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</si>
  <si>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</si>
  <si>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</si>
  <si>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</si>
  <si>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</si>
  <si>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</si>
  <si>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</si>
  <si>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</si>
  <si>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</si>
  <si>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</si>
  <si>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</si>
  <si>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</si>
  <si>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</si>
  <si>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</si>
  <si>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</si>
  <si>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</si>
  <si>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</si>
  <si>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</si>
  <si>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</si>
  <si>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</si>
  <si>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</si>
  <si>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</si>
  <si>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</si>
  <si>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</si>
  <si>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</si>
  <si>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</si>
  <si>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</si>
  <si>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</si>
  <si>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</si>
  <si>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</si>
  <si>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</si>
  <si>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</si>
  <si>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</si>
  <si>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</si>
  <si>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</si>
  <si>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</si>
  <si>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</si>
  <si>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</si>
  <si>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</si>
  <si>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</si>
  <si>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</si>
  <si>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</si>
  <si>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</si>
  <si>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</si>
  <si>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</si>
  <si>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</si>
  <si>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</si>
  <si>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</si>
  <si>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</si>
  <si>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</si>
  <si>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</si>
  <si>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</si>
  <si>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</si>
  <si>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</si>
  <si>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</si>
  <si>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</si>
  <si>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</si>
  <si>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</si>
  <si>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</si>
  <si>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</si>
  <si>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</si>
  <si>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</si>
  <si>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</si>
  <si>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</si>
  <si>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</si>
  <si>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</si>
  <si>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</si>
  <si>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</si>
  <si>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</si>
  <si>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</si>
  <si>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</si>
  <si>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</si>
  <si>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</si>
  <si>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</si>
  <si>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</si>
  <si>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</si>
  <si>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</si>
  <si>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</si>
  <si>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</si>
  <si>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</si>
  <si>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</si>
  <si>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</si>
  <si>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</si>
  <si>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</si>
  <si>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</si>
  <si>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</si>
  <si>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</si>
  <si>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</si>
  <si>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</si>
  <si>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</si>
  <si>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</si>
  <si>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</si>
  <si>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</si>
  <si>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</si>
  <si>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</si>
  <si>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</si>
  <si>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</si>
  <si>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</si>
  <si>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</si>
  <si>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</si>
  <si>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</si>
  <si>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</si>
  <si>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</si>
  <si>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</si>
  <si>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</si>
  <si>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</si>
  <si>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</si>
  <si>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</si>
  <si>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</si>
  <si>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</si>
  <si>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</si>
  <si>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</si>
  <si>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</si>
  <si>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</si>
  <si>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</si>
  <si>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</si>
  <si>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</si>
  <si>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</si>
  <si>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</si>
  <si>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</si>
  <si>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</si>
  <si>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</si>
  <si>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</si>
  <si>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</si>
  <si>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</si>
  <si>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</si>
  <si>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</si>
  <si>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</si>
  <si>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</si>
  <si>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</si>
  <si>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</si>
  <si>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</si>
  <si>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</si>
  <si>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</si>
  <si>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</si>
  <si>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</si>
  <si>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</si>
  <si>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</si>
  <si>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</si>
  <si>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</si>
  <si>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</si>
  <si>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</si>
  <si>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</si>
  <si>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</si>
  <si>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</si>
  <si>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</si>
  <si>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</si>
  <si>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</si>
  <si>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</si>
  <si>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</si>
  <si>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</si>
  <si>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</si>
  <si>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</si>
  <si>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</si>
  <si>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</si>
  <si>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</si>
  <si>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</si>
  <si>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</si>
  <si>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</si>
  <si>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</si>
  <si>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</si>
  <si>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</si>
  <si>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</si>
  <si>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</si>
  <si>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</si>
  <si>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</si>
  <si>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</si>
  <si>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</si>
  <si>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</si>
  <si>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</si>
  <si>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</si>
  <si>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</si>
  <si>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</si>
  <si>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</si>
  <si>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</si>
  <si>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</si>
  <si>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</si>
  <si>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</si>
  <si>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</si>
  <si>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</si>
  <si>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</si>
  <si>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</si>
  <si>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</si>
  <si>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</si>
  <si>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</si>
  <si>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</si>
  <si>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</si>
  <si>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</si>
  <si>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</si>
  <si>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</si>
  <si>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</si>
  <si>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</si>
  <si>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</si>
  <si>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</si>
  <si>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</si>
  <si>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</si>
  <si>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</si>
  <si>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</si>
  <si>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</si>
  <si>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</si>
  <si>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</si>
  <si>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</si>
  <si>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</si>
  <si>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</si>
  <si>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</si>
  <si>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</si>
  <si>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</si>
  <si>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</si>
  <si>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</si>
  <si>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</si>
  <si>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</si>
  <si>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</si>
  <si>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</si>
  <si>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</si>
  <si>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</si>
  <si>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</si>
  <si>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</si>
  <si>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</si>
  <si>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</si>
  <si>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</si>
  <si>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</si>
  <si>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</si>
  <si>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</si>
  <si>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</si>
  <si>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</si>
  <si>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</si>
  <si>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</si>
  <si>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</si>
  <si>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</si>
  <si>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</si>
  <si>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</si>
  <si>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</si>
  <si>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</si>
  <si>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</si>
  <si>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</si>
  <si>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</si>
  <si>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</si>
  <si>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</si>
  <si>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</si>
  <si>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</si>
  <si>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</si>
  <si>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</si>
  <si>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</si>
  <si>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</si>
  <si>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</si>
  <si>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</si>
  <si>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</si>
  <si>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</si>
  <si>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</si>
  <si>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</si>
  <si>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</si>
  <si>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</si>
  <si>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</si>
  <si>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</si>
  <si>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</si>
  <si>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</si>
  <si>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</si>
  <si>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</si>
  <si>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</si>
  <si>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</si>
  <si>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</si>
  <si>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</si>
  <si>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</si>
  <si>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</si>
  <si>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</si>
  <si>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</si>
  <si>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</si>
  <si>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</si>
  <si>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</si>
  <si>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</si>
  <si>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</si>
  <si>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</si>
  <si>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</si>
  <si>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</si>
  <si>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</si>
  <si>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</si>
  <si>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</si>
  <si>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</si>
  <si>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</si>
  <si>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</si>
  <si>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</si>
  <si>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</si>
  <si>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</si>
  <si>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</si>
  <si>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</si>
  <si>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</si>
  <si>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</si>
  <si>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</si>
  <si>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</si>
  <si>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</si>
  <si>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</si>
  <si>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</si>
  <si>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</si>
  <si>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</si>
  <si>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</si>
  <si>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</si>
  <si>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</si>
  <si>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</si>
  <si>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</si>
  <si>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</si>
  <si>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</si>
  <si>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</si>
  <si>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</si>
  <si>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</si>
  <si>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</si>
  <si>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</si>
  <si>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</si>
  <si>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</si>
  <si>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</si>
  <si>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</si>
  <si>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</si>
  <si>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</si>
  <si>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</si>
  <si>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</si>
  <si>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</si>
  <si>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</si>
  <si>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</si>
  <si>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</si>
  <si>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</si>
  <si>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</si>
  <si>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</si>
  <si>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</si>
  <si>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</si>
  <si>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</si>
  <si>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</si>
  <si>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</si>
  <si>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</si>
  <si>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</si>
  <si>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</si>
  <si>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</si>
  <si>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</si>
  <si>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</si>
  <si>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</si>
  <si>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</si>
  <si>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</si>
  <si>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</si>
  <si>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</si>
  <si>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</si>
  <si>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</si>
  <si>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</si>
  <si>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</si>
  <si>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</si>
  <si>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</si>
  <si>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</si>
  <si>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</si>
  <si>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</si>
  <si>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</si>
  <si>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</si>
  <si>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</si>
  <si>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</si>
  <si>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</si>
  <si>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</si>
  <si>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</si>
  <si>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</si>
  <si>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</si>
  <si>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</si>
  <si>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</si>
  <si>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</si>
  <si>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</si>
  <si>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</si>
  <si>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</si>
  <si>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</si>
  <si>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</si>
  <si>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</si>
  <si>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</si>
  <si>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</si>
  <si>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</si>
  <si>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</si>
  <si>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</si>
  <si>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</si>
  <si>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</si>
  <si>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</si>
  <si>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</si>
  <si>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</si>
  <si>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</si>
  <si>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</si>
  <si>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</si>
  <si>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</si>
  <si>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</si>
  <si>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</si>
  <si>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</si>
  <si>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</si>
  <si>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</si>
  <si>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</si>
  <si>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</si>
  <si>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</si>
  <si>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</si>
  <si>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</si>
  <si>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</si>
  <si>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</si>
  <si>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</si>
  <si>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</si>
  <si>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</si>
  <si>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</si>
  <si>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</si>
  <si>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</si>
  <si>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</si>
  <si>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</si>
  <si>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</si>
  <si>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</si>
  <si>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</si>
  <si>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</si>
  <si>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</si>
  <si>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</si>
  <si>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</si>
  <si>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</si>
  <si>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</si>
  <si>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</si>
  <si>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</si>
  <si>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</si>
  <si>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</si>
  <si>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</si>
  <si>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</si>
  <si>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</si>
  <si>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</si>
  <si>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</si>
  <si>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</si>
  <si>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</si>
  <si>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</si>
  <si>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</si>
  <si>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</si>
  <si>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</si>
  <si>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</si>
  <si>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</si>
  <si>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</si>
  <si>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</si>
  <si>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</si>
  <si>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</si>
  <si>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</si>
  <si>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</si>
  <si>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</si>
  <si>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</si>
  <si>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</si>
  <si>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</si>
  <si>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</si>
  <si>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</si>
  <si>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</si>
  <si>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</si>
  <si>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</si>
  <si>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</si>
  <si>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</si>
  <si>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</si>
  <si>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</si>
  <si>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</si>
  <si>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</si>
  <si>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</si>
  <si>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</si>
  <si>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</si>
  <si>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</si>
  <si>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</si>
  <si>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</si>
  <si>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</si>
  <si>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</si>
  <si>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</si>
  <si>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</si>
  <si>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</si>
  <si>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</si>
  <si>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</si>
  <si>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</si>
  <si>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</si>
  <si>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</si>
  <si>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</si>
  <si>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</si>
  <si>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</si>
  <si>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</si>
  <si>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</si>
  <si>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</si>
  <si>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</si>
  <si>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</si>
  <si>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</si>
  <si>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</si>
  <si>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</si>
  <si>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</si>
  <si>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</si>
  <si>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</si>
  <si>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</si>
  <si>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</si>
  <si>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</si>
  <si>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</si>
  <si>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</si>
  <si>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</si>
  <si>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</si>
  <si>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</si>
  <si>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</si>
  <si>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</si>
  <si>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</si>
  <si>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</si>
  <si>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</si>
  <si>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</si>
  <si>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</si>
  <si>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</si>
  <si>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</si>
  <si>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</si>
  <si>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</si>
  <si>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</si>
  <si>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</si>
  <si>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</si>
  <si>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</si>
  <si>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</si>
  <si>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</si>
  <si>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</si>
  <si>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</si>
  <si>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</si>
  <si>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</si>
  <si>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</si>
  <si>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</si>
  <si>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</si>
  <si>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</si>
  <si>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</si>
  <si>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</si>
  <si>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</si>
  <si>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</si>
  <si>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</si>
  <si>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</si>
  <si>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</si>
  <si>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</si>
  <si>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</si>
  <si>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</si>
  <si>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</si>
  <si>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</si>
  <si>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</si>
  <si>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</si>
  <si>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</si>
  <si>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</si>
  <si>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</si>
  <si>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</si>
  <si>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</si>
  <si>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</si>
  <si>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</si>
  <si>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</si>
  <si>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</si>
  <si>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</si>
  <si>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</si>
  <si>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</si>
  <si>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</si>
  <si>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</si>
  <si>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</si>
  <si>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</si>
  <si>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</si>
  <si>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</si>
  <si>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</si>
  <si>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</si>
  <si>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</si>
  <si>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</si>
  <si>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</si>
  <si>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</si>
  <si>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</si>
  <si>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</si>
  <si>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</si>
  <si>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</si>
  <si>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</si>
  <si>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</si>
  <si>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</si>
  <si>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</si>
  <si>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</si>
  <si>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</si>
  <si>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</si>
  <si>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</si>
  <si>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</si>
  <si>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</si>
  <si>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</si>
  <si>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</si>
  <si>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</si>
  <si>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</si>
  <si>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</si>
  <si>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</si>
  <si>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</si>
  <si>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</si>
  <si>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</si>
  <si>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</si>
  <si>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</si>
  <si>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</si>
  <si>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</si>
  <si>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</si>
  <si>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</si>
  <si>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</si>
  <si>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</si>
  <si>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</si>
  <si>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</si>
  <si>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</si>
  <si>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</si>
  <si>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</si>
  <si>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</si>
  <si>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</si>
  <si>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</si>
  <si>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</si>
  <si>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</si>
  <si>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</si>
  <si>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</si>
  <si>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</si>
  <si>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</si>
  <si>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</si>
  <si>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</si>
  <si>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</si>
  <si>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</si>
  <si>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</si>
  <si>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</si>
  <si>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</si>
  <si>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</si>
  <si>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</si>
  <si>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</si>
  <si>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</si>
  <si>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</si>
  <si>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</si>
  <si>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</si>
  <si>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</si>
  <si>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</si>
  <si>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</si>
  <si>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</si>
  <si>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</si>
  <si>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</si>
  <si>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</si>
  <si>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</si>
  <si>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</si>
  <si>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</si>
  <si>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</si>
  <si>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</si>
  <si>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</si>
  <si>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</si>
  <si>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</si>
  <si>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</si>
  <si>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</si>
  <si>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</si>
  <si>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</si>
  <si>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</si>
  <si>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</si>
  <si>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</si>
  <si>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</si>
  <si>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</si>
  <si>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</si>
  <si>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</si>
  <si>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</si>
  <si>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</si>
  <si>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</si>
  <si>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</si>
  <si>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</si>
  <si>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</si>
  <si>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</si>
  <si>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</si>
  <si>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</si>
  <si>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</si>
  <si>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</si>
  <si>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</si>
  <si>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</si>
  <si>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</si>
  <si>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</si>
  <si>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</si>
  <si>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</si>
  <si>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</si>
  <si>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</si>
  <si>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</si>
  <si>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</si>
  <si>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</si>
  <si>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</si>
  <si>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</si>
  <si>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</si>
  <si>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</si>
  <si>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</si>
  <si>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</si>
  <si>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</si>
  <si>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</si>
  <si>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</si>
  <si>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</si>
  <si>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</si>
  <si>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</si>
  <si>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</si>
  <si>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</si>
  <si>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</si>
  <si>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</si>
  <si>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</si>
  <si>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</si>
  <si>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</si>
  <si>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</si>
  <si>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</si>
  <si>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</si>
  <si>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</si>
  <si>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</si>
  <si>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</si>
  <si>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</si>
  <si>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</si>
  <si>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</si>
  <si>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</si>
  <si>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</si>
  <si>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</si>
  <si>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</si>
  <si>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</si>
  <si>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</si>
  <si>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</si>
  <si>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</si>
  <si>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</si>
  <si>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</si>
  <si>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</si>
  <si>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</si>
  <si>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</si>
  <si>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</si>
  <si>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</si>
  <si>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</si>
  <si>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</si>
  <si>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</si>
  <si>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</si>
  <si>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</si>
  <si>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</si>
  <si>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</si>
  <si>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</si>
  <si>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</si>
  <si>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</si>
  <si>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</si>
  <si>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</si>
  <si>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</si>
  <si>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</si>
  <si>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</si>
  <si>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</si>
  <si>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</si>
  <si>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</si>
  <si>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</si>
  <si>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</si>
  <si>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</si>
  <si>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</si>
  <si>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</si>
  <si>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</si>
  <si>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</si>
  <si>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</si>
  <si>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</si>
  <si>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</si>
  <si>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</si>
  <si>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</si>
  <si>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</si>
  <si>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</si>
  <si>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</si>
  <si>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</si>
  <si>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</si>
  <si>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</si>
  <si>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</si>
  <si>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</si>
  <si>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</si>
  <si>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</si>
  <si>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</si>
  <si>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</si>
  <si>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</si>
  <si>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</si>
  <si>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</si>
  <si>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</si>
  <si>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</si>
  <si>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</si>
  <si>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</si>
  <si>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</si>
  <si>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</si>
  <si>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</si>
  <si>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</si>
  <si>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</si>
  <si>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</si>
  <si>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</si>
  <si>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</si>
  <si>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</si>
  <si>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</si>
  <si>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</si>
  <si>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</si>
  <si>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</si>
  <si>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</si>
  <si>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</si>
  <si>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</si>
  <si>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</si>
  <si>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</si>
  <si>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</si>
  <si>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</si>
  <si>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</si>
  <si>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</si>
  <si>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</si>
  <si>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</si>
  <si>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</si>
  <si>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</si>
  <si>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</si>
  <si>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</si>
  <si>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</si>
  <si>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</si>
  <si>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</si>
  <si>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</si>
  <si>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</si>
  <si>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</si>
  <si>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</si>
  <si>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</si>
  <si>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</si>
  <si>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</si>
  <si>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</si>
  <si>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</si>
  <si>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</si>
  <si>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</si>
  <si>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</si>
  <si>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</si>
  <si>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</si>
  <si>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</si>
  <si>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</si>
  <si>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</si>
  <si>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</si>
  <si>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</si>
  <si>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</si>
  <si>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</si>
  <si>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</si>
  <si>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</si>
  <si>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</si>
  <si>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</si>
  <si>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</si>
  <si>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</si>
  <si>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</si>
  <si>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</si>
  <si>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</si>
  <si>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</si>
  <si>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</si>
  <si>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</si>
  <si>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</si>
  <si>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</si>
  <si>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</si>
  <si>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</si>
  <si>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</si>
  <si>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</si>
  <si>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</si>
  <si>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</si>
  <si>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</si>
  <si>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</si>
  <si>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</si>
  <si>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</si>
  <si>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</si>
  <si>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</si>
  <si>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</si>
  <si>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</si>
  <si>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</si>
  <si>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</si>
  <si>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</si>
  <si>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</si>
  <si>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</si>
  <si>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</si>
  <si>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</si>
  <si>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</si>
  <si>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</si>
  <si>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</si>
  <si>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</si>
  <si>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</si>
  <si>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</si>
  <si>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</si>
  <si>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</si>
  <si>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</si>
  <si>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</si>
  <si>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</si>
  <si>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</si>
  <si>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</si>
  <si>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</si>
  <si>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</si>
  <si>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</si>
  <si>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</si>
  <si>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</si>
  <si>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</si>
  <si>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</si>
  <si>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</si>
  <si>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</si>
  <si>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</si>
  <si>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</si>
  <si>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</si>
  <si>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</si>
  <si>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</si>
  <si>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</si>
  <si>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</si>
  <si>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</si>
  <si>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</si>
  <si>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</si>
  <si>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</si>
  <si>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</si>
  <si>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</si>
  <si>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</si>
  <si>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</si>
  <si>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</si>
  <si>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</si>
  <si>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</si>
  <si>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</si>
  <si>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</si>
  <si>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</si>
  <si>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</si>
  <si>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</si>
  <si>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</si>
  <si>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</si>
  <si>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</si>
  <si>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</si>
  <si>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</si>
  <si>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</si>
  <si>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</si>
  <si>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</si>
  <si>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</si>
  <si>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</si>
  <si>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</si>
  <si>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</si>
  <si>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</si>
  <si>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</si>
  <si>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</si>
  <si>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</si>
  <si>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</si>
  <si>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</si>
  <si>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</si>
  <si>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</si>
  <si>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</si>
  <si>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</si>
  <si>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</si>
  <si>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</si>
  <si>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</si>
  <si>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</si>
  <si>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</si>
  <si>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</si>
  <si>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</si>
  <si>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</si>
  <si>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</si>
  <si>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</si>
  <si>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</si>
  <si>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</si>
  <si>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</si>
  <si>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</si>
  <si>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</si>
  <si>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</si>
  <si>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</si>
  <si>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</si>
  <si>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</si>
  <si>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</si>
  <si>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</si>
  <si>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</si>
  <si>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</si>
  <si>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</si>
  <si>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</si>
  <si>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</si>
  <si>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</si>
  <si>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</si>
  <si>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</si>
  <si>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</si>
  <si>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</si>
  <si>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</si>
  <si>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</si>
  <si>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</si>
  <si>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</si>
  <si>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</si>
  <si>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</si>
  <si>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</si>
  <si>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</si>
  <si>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</si>
  <si>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</si>
  <si>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</si>
  <si>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</si>
  <si>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</si>
  <si>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</si>
  <si>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</si>
  <si>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</si>
  <si>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</si>
  <si>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</si>
  <si>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</si>
  <si>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</si>
  <si>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</si>
  <si>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</si>
  <si>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</si>
  <si>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</si>
  <si>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</si>
  <si>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</si>
  <si>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</si>
  <si>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</si>
  <si>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</si>
  <si>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</si>
  <si>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</si>
  <si>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</si>
  <si>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</si>
  <si>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</si>
  <si>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</si>
  <si>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</si>
  <si>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</si>
  <si>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</si>
  <si>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</si>
  <si>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</si>
  <si>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</si>
  <si>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</si>
  <si>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</si>
  <si>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</si>
  <si>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</si>
  <si>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</si>
  <si>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</si>
  <si>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</si>
  <si>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</si>
  <si>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</si>
  <si>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</si>
  <si>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</si>
  <si>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</si>
  <si>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</si>
  <si>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</si>
  <si>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</si>
  <si>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</si>
  <si>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</si>
  <si>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</si>
  <si>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</si>
  <si>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</si>
  <si>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</si>
  <si>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</si>
  <si>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</si>
  <si>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</si>
  <si>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</si>
  <si>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</si>
  <si>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</si>
  <si>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</si>
  <si>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</si>
  <si>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</si>
  <si>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</si>
  <si>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</si>
  <si>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</si>
  <si>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</si>
  <si>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</si>
  <si>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</si>
  <si>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</si>
  <si>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</si>
  <si>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</si>
  <si>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</si>
  <si>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</si>
  <si>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</si>
  <si>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</si>
  <si>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</si>
  <si>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</si>
  <si>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</si>
  <si>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</si>
  <si>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</si>
  <si>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</si>
  <si>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</si>
  <si>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</si>
  <si>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</si>
  <si>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</si>
  <si>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</si>
  <si>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</si>
  <si>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</si>
  <si>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</si>
  <si>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</si>
  <si>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</si>
  <si>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</si>
  <si>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</si>
  <si>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</si>
  <si>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</si>
  <si>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</si>
  <si>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</si>
  <si>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</si>
  <si>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</si>
  <si>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</si>
  <si>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</si>
  <si>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</si>
  <si>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</si>
  <si>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</si>
  <si>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</si>
  <si>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</si>
  <si>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</si>
  <si>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</si>
  <si>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</si>
  <si>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</si>
  <si>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</si>
  <si>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</si>
  <si>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</si>
  <si>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</si>
  <si>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</si>
  <si>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</si>
  <si>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</si>
  <si>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</si>
  <si>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</si>
  <si>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</si>
  <si>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</si>
  <si>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</si>
  <si>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</si>
  <si>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</si>
  <si>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</si>
  <si>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</si>
  <si>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</si>
  <si>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</si>
  <si>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</si>
  <si>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</si>
  <si>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</si>
  <si>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</si>
  <si>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</si>
  <si>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</si>
  <si>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</si>
  <si>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</si>
  <si>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</si>
  <si>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</si>
  <si>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</si>
  <si>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</si>
  <si>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</si>
  <si>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</si>
  <si>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</si>
  <si>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</si>
  <si>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</si>
  <si>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</si>
  <si>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</si>
  <si>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</si>
  <si>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</si>
  <si>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</si>
  <si>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</si>
  <si>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</si>
  <si>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</si>
  <si>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</si>
  <si>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</si>
  <si>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</si>
  <si>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</si>
  <si>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</si>
  <si>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</si>
  <si>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</si>
  <si>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</si>
  <si>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</si>
  <si>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</si>
  <si>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</si>
  <si>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</si>
  <si>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</si>
  <si>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</si>
  <si>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</si>
  <si>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</si>
  <si>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</si>
  <si>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</si>
  <si>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</si>
  <si>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</si>
  <si>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</si>
  <si>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</si>
  <si>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</si>
  <si>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</si>
  <si>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</si>
  <si>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</si>
  <si>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</si>
  <si>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</si>
  <si>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</si>
  <si>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</si>
  <si>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</si>
  <si>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</si>
  <si>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</si>
  <si>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</si>
  <si>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</si>
  <si>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</si>
  <si>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</si>
  <si>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</si>
  <si>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</si>
  <si>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</si>
  <si>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</si>
  <si>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</si>
  <si>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</si>
  <si>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</si>
  <si>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</si>
  <si>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</si>
  <si>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</si>
  <si>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</si>
  <si>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</si>
  <si>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</si>
  <si>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LA RIOJA</t>
  </si>
  <si>
    <t>Provincias</t>
  </si>
  <si>
    <t>Resumenes por Partidos Judiciales</t>
  </si>
  <si>
    <t>LOGROÑO</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</si>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</sst>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273</v>
      </c>
      <c r="D5" s="417">
        <v>1</v>
      </c>
      <c r="E5" s="418"/>
      <c r="F5" s="3"/>
      <c r="H5" t="s">
        <v>542</v>
      </c>
      <c r="Q5" s="391">
        <v>3</v>
      </c>
      <c r="R5" s="391">
        <v>2</v>
      </c>
      <c r="S5" t="b">
        <f>AND(Q5&gt;=TrimIni,Q5&lt;=TrimFin)</f>
        <v>0</v>
      </c>
    </row>
    <row r="6" spans="1:19" ht="15">
      <c r="A6" s="419"/>
      <c r="B6" s="418"/>
      <c r="C6" s="416" t="s">
        <v>274</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1179</v>
      </c>
      <c r="C10" s="418"/>
      <c r="D10" s="418"/>
      <c r="E10" s="427"/>
      <c r="F10" s="3"/>
      <c r="Q10" s="391">
        <v>0</v>
      </c>
    </row>
    <row r="11" spans="1:19" ht="13.5" thickBot="1">
      <c r="A11" s="428" t="s">
        <v>1181</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2KUC2YIqm+8aqOuCoI0PBsucJHvMhDaE/ytorCoNU5WnqG+ylOB/pMpz9rfm7458quvB+lOmMigksf3Dl/wNw==" saltValue="1oe7m4rIST/hkEEW7wb/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LA RIOJA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1 al 1</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16.091971544715449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127</v>
      </c>
      <c r="D10" s="239">
        <f>IF(ISNUMBER(Datos!I10),Datos!I10," - ")</f>
        <v>127</v>
      </c>
      <c r="E10" s="240">
        <f>IF(ISNUMBER(Datos!J10),Datos!J10," - ")</f>
        <v>47</v>
      </c>
      <c r="F10" s="240">
        <f>IF(ISNUMBER(Datos!K10),Datos!K10," - ")</f>
        <v>38</v>
      </c>
      <c r="G10" s="1390" t="str">
        <f>IF(Datos!E10&lt;&gt;"",Datos!E10,Datos!D10)</f>
        <v>37</v>
      </c>
      <c r="H10" s="241">
        <f>IF(ISNUMBER(Datos!L10),Datos!L10," - ")</f>
        <v>136</v>
      </c>
      <c r="I10" s="1400" t="str">
        <f>IF(ISNUMBER(Datos!AS10/Datos!BM10),Datos!AS10/Datos!BM10," - ")</f>
        <v xml:space="preserve"> - </v>
      </c>
      <c r="J10" s="1401">
        <f>IF(ISNUMBER(Datos!BY10/Datos!CN10),Datos!BY10/Datos!CN10," - ")</f>
        <v>0</v>
      </c>
      <c r="K10" s="244">
        <f t="shared" ref="K10:K13" si="1">IF(ISNUMBER((E10-F10)/C10),(E10-F10)/C10," - ")</f>
        <v>7.0866141732283464E-2</v>
      </c>
      <c r="L10" s="1402">
        <f>IF(ISNUMBER(NºAsuntos!I10/NºAsuntos!G10),(NºAsuntos!I10/NºAsuntos!G10)*11," - ")</f>
        <v>39.368421052631582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22.030985915492959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127</v>
      </c>
      <c r="D14" s="1407">
        <f>SUBTOTAL(9,D9:D13)</f>
        <v>127</v>
      </c>
      <c r="E14" s="1408">
        <f>SUBTOTAL(9,E9:E13)</f>
        <v>47</v>
      </c>
      <c r="F14" s="1409">
        <f>SUBTOTAL(9,F9:F13)</f>
        <v>38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1722</v>
      </c>
      <c r="D16" s="239">
        <f>IF(ISNUMBER(IF(D_I="SI",Datos!I16,Datos!I16+Datos!AC16)),IF(D_I="SI",Datos!I16,Datos!I16+Datos!AC16)," - ")</f>
        <v>1711</v>
      </c>
      <c r="E16" s="240">
        <f>IF(ISNUMBER(IF(D_I="SI",Datos!J16,Datos!J16+Datos!AD16)),IF(D_I="SI",Datos!J16,Datos!J16+Datos!AD16)," - ")</f>
        <v>1651</v>
      </c>
      <c r="F16" s="240">
        <f>IF(ISNUMBER(IF(D_I="SI",Datos!K16,Datos!K16+Datos!AE16)),IF(D_I="SI",Datos!K16,Datos!K16+Datos!AE16)," - ")</f>
        <v>1621</v>
      </c>
      <c r="G16" s="1390" t="str">
        <f>IF(Datos!E16&lt;&gt;"",Datos!E16,Datos!D16)</f>
        <v>03</v>
      </c>
      <c r="H16" s="241">
        <f>IF(ISNUMBER(IF(D_I="SI",Datos!L16,Datos!L16+Datos!AF16)),IF(D_I="SI",Datos!L16,Datos!L16+Datos!AF16)," - ")</f>
        <v>1752</v>
      </c>
      <c r="I16" s="1400" t="str">
        <f>IF(ISNUMBER(Datos!AS16/Datos!BM16),Datos!AS16/Datos!BM16," - ")</f>
        <v xml:space="preserve"> - </v>
      </c>
      <c r="J16" s="1401">
        <f>IF(ISNUMBER(Datos!BY16/Datos!CN16),Datos!BY16/Datos!CN16," - ")</f>
        <v>0</v>
      </c>
      <c r="K16" s="244">
        <f t="shared" ref="K16:K22" si="3">IF(ISNUMBER((E16-F16)/C16),(E16-F16)/C16," - ")</f>
        <v>1.7421602787456445E-2</v>
      </c>
      <c r="L16" s="1402">
        <f>IF(ISNUMBER(NºAsuntos!I16/NºAsuntos!G16),(NºAsuntos!I16/NºAsuntos!G16)*11," - ")</f>
        <v>11.888957433682913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244</v>
      </c>
      <c r="D18" s="239">
        <f>IF(ISNUMBER(IF(D_I="SI",Datos!I18,Datos!I18+Datos!AC18)),IF(D_I="SI",Datos!I18,Datos!I18+Datos!AC18)," - ")</f>
        <v>244</v>
      </c>
      <c r="E18" s="240">
        <f>IF(ISNUMBER(IF(D_I="SI",Datos!J18,Datos!J18+Datos!AD18)),IF(D_I="SI",Datos!J18,Datos!J18+Datos!AD18)," - ")</f>
        <v>227</v>
      </c>
      <c r="F18" s="240">
        <f>IF(ISNUMBER(IF(D_I="SI",Datos!K18,Datos!K18+Datos!AE18)),IF(D_I="SI",Datos!K18,Datos!K18+Datos!AE18)," - ")</f>
        <v>240</v>
      </c>
      <c r="G18" s="1390" t="str">
        <f>IF(Datos!E18&lt;&gt;"",Datos!E18,Datos!D18)</f>
        <v>37</v>
      </c>
      <c r="H18" s="241">
        <f>IF(ISNUMBER(IF(D_I="SI",Datos!L18,Datos!L18+Datos!AF18)),IF(D_I="SI",Datos!L18,Datos!L18+Datos!AF18)," - ")</f>
        <v>231</v>
      </c>
      <c r="I18" s="1400" t="str">
        <f>IF(ISNUMBER(Datos!AS18/Datos!BM18),Datos!AS18/Datos!BM18," - ")</f>
        <v xml:space="preserve"> - </v>
      </c>
      <c r="J18" s="1401" t="str">
        <f>IF(ISNUMBER((Datos!BY18+Datos!BZ18)/Datos!CN18),(Datos!BY18+Datos!BZ18)/Datos!CN18," - ")</f>
        <v xml:space="preserve"> - </v>
      </c>
      <c r="K18" s="244">
        <f t="shared" si="3"/>
        <v>-5.3278688524590161E-2</v>
      </c>
      <c r="L18" s="1402">
        <f>IF(ISNUMBER(NºAsuntos!I18/NºAsuntos!G18),(NºAsuntos!I18/NºAsuntos!G18)*11," - ")</f>
        <v>10.5875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f t="shared" si="2"/>
        <v>258</v>
      </c>
      <c r="D20" s="239">
        <f>IF(ISNUMBER(Datos!I20),Datos!I20," - ")</f>
        <v>258</v>
      </c>
      <c r="E20" s="240">
        <f>IF(ISNUMBER(Datos!J20),Datos!J20," - ")</f>
        <v>292</v>
      </c>
      <c r="F20" s="240">
        <f>IF(ISNUMBER(Datos!K20),Datos!K20," - ")</f>
        <v>226</v>
      </c>
      <c r="G20" s="1390" t="str">
        <f>IF(Datos!E20&lt;&gt;"",Datos!E20,Datos!D20)</f>
        <v>08</v>
      </c>
      <c r="H20" s="241">
        <f>IF(ISNUMBER(Datos!L20),Datos!L20," - ")</f>
        <v>324</v>
      </c>
      <c r="I20" s="1400" t="str">
        <f>IF(ISNUMBER(Datos!AS20/Datos!BM20),Datos!AS20/Datos!BM20," - ")</f>
        <v xml:space="preserve"> - </v>
      </c>
      <c r="J20" s="1401">
        <f>IF(ISNUMBER(Datos!BY20/Datos!CN20),Datos!BY20/Datos!CN20," - ")</f>
        <v>0</v>
      </c>
      <c r="K20" s="244">
        <f t="shared" si="3"/>
        <v>0.2558139534883721</v>
      </c>
      <c r="L20" s="1402">
        <f>IF(ISNUMBER(NºAsuntos!I20/NºAsuntos!G20),(NºAsuntos!I20/NºAsuntos!G20)*11," - ")</f>
        <v>15.76991150442478</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2224</v>
      </c>
      <c r="D23" s="1407">
        <f>SUBTOTAL(9,D16:D22)</f>
        <v>2213</v>
      </c>
      <c r="E23" s="1408">
        <f>SUBTOTAL(9,E16:E22)</f>
        <v>2170</v>
      </c>
      <c r="F23" s="1408">
        <f>SUBTOTAL(9,F16:F22)</f>
        <v>2087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2351</v>
      </c>
      <c r="D31" s="1435">
        <f>SUBTOTAL(9,D9:D30)</f>
        <v>2340</v>
      </c>
      <c r="E31" s="1436">
        <f>SUBTOTAL(9,E9:E30)</f>
        <v>2217</v>
      </c>
      <c r="F31" s="1436">
        <f>SUBTOTAL(9,F9:F30)</f>
        <v>2125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c+z/tGbOwiHGA1T8mSvByz3nRo7Pb73Ov7XMLJabhz85JCx5G6ha7ob22bhNOIT/Kh1awSJ7vQYGRLWW+KMG6A==" saltValue="0G/G6JwSjz5D+UAMLQvDd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any4qNXIkczWgHpI1/5lSnhsyjxy8eJcSVWhbR8iBwFYYcf+KjQZ3TIolaLwTzawdj9KZQdjZ/ojRrBJtInk8g==" saltValue="8JONifJ487MORyxDDL7b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2751</v>
      </c>
      <c r="J9" s="194">
        <v>1966</v>
      </c>
      <c r="K9" s="194">
        <v>1875</v>
      </c>
      <c r="L9" s="194">
        <v>2842</v>
      </c>
      <c r="M9" s="194">
        <v>526</v>
      </c>
      <c r="N9" s="194">
        <v>647</v>
      </c>
      <c r="O9" s="194">
        <v>1151</v>
      </c>
      <c r="P9" s="194">
        <v>623</v>
      </c>
      <c r="Q9" s="194">
        <v>771</v>
      </c>
      <c r="R9" s="194">
        <v>6213</v>
      </c>
      <c r="S9" s="194">
        <v>3090</v>
      </c>
      <c r="T9" s="194">
        <v>1703</v>
      </c>
      <c r="U9" s="194">
        <v>2001</v>
      </c>
      <c r="V9" s="194">
        <v>2792</v>
      </c>
      <c r="W9" s="194">
        <v>532</v>
      </c>
      <c r="X9" s="201">
        <v>854</v>
      </c>
      <c r="Y9" s="204">
        <v>45</v>
      </c>
      <c r="Z9" s="194">
        <v>85</v>
      </c>
      <c r="AA9" s="194">
        <v>93</v>
      </c>
      <c r="AB9" s="194">
        <v>37</v>
      </c>
      <c r="AC9" s="194">
        <v>0</v>
      </c>
      <c r="AD9" s="194">
        <v>0</v>
      </c>
      <c r="AE9" s="194">
        <v>0</v>
      </c>
      <c r="AF9" s="201">
        <v>0</v>
      </c>
      <c r="AG9" s="204">
        <v>65</v>
      </c>
      <c r="AH9" s="194">
        <v>105</v>
      </c>
      <c r="AI9" s="194">
        <v>118</v>
      </c>
      <c r="AJ9" s="205">
        <v>52</v>
      </c>
      <c r="AK9" s="193">
        <v>0</v>
      </c>
      <c r="AL9" s="194">
        <v>0</v>
      </c>
      <c r="AM9" s="194">
        <v>0</v>
      </c>
      <c r="AN9" s="201">
        <v>0</v>
      </c>
      <c r="AO9" s="282">
        <v>6</v>
      </c>
      <c r="AP9" s="167">
        <v>6</v>
      </c>
      <c r="AQ9" s="167">
        <v>6</v>
      </c>
      <c r="AR9" s="206">
        <v>6</v>
      </c>
      <c r="AS9" s="379" t="s">
        <v>1067</v>
      </c>
      <c r="AT9" s="208"/>
      <c r="AU9" s="207"/>
      <c r="AV9" s="208"/>
      <c r="AW9" s="207"/>
      <c r="AX9" s="208"/>
      <c r="AY9" s="133">
        <f>IF(ISNUMBER(IF(J_V="SI",S9,S9+AG9)),IF(J_V="SI",S9,S9+AG9)," - ")</f>
        <v>3155</v>
      </c>
      <c r="AZ9" s="133">
        <f>IF(ISNUMBER(IF(J_V="SI",T9,T9+AH9)),IF(J_V="SI",T9,T9+AH9)," - ")</f>
        <v>1808</v>
      </c>
      <c r="BA9" s="134">
        <f>IF(ISNUMBER(IF(J_V="SI",U9,U9+AI9)),IF(J_V="SI",U9,U9+AI9)," - ")</f>
        <v>2119</v>
      </c>
      <c r="BB9" s="134">
        <f>IF(ISNUMBER(IF(J_V="SI",V9,V9+AJ9)),IF(J_V="SI",V9,V9+AJ9)," - ")</f>
        <v>2844</v>
      </c>
      <c r="BC9" s="135">
        <f>IF(ISNUMBER(X9),X9," - ")</f>
        <v>854</v>
      </c>
      <c r="BD9" s="136">
        <f>IF(ISNUMBER(BA9/AZ9),BA9/AZ9," - ")</f>
        <v>1.1720132743362832</v>
      </c>
      <c r="BE9" s="137">
        <f>IF(ISNUMBER(BB9/BA9),BB9/BA9, " - ")</f>
        <v>1.3421425200566306</v>
      </c>
      <c r="BF9" s="137">
        <f>IF(ISNUMBER(BC9/BA9),BC9/BA9, " - ")</f>
        <v>0.40302029259084476</v>
      </c>
      <c r="BG9" s="209">
        <f>IF(ISNUMBER((AY9+AZ9)/BA9),(AY9+AZ9)/BA9," - ")</f>
        <v>2.3421425200566306</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127</v>
      </c>
      <c r="J10" s="194">
        <v>47</v>
      </c>
      <c r="K10" s="194">
        <v>38</v>
      </c>
      <c r="L10" s="194">
        <v>136</v>
      </c>
      <c r="M10" s="194">
        <v>24</v>
      </c>
      <c r="N10" s="194">
        <v>16</v>
      </c>
      <c r="O10" s="194">
        <v>4</v>
      </c>
      <c r="P10" s="194">
        <v>14</v>
      </c>
      <c r="Q10" s="194">
        <v>6</v>
      </c>
      <c r="R10" s="194">
        <v>144</v>
      </c>
      <c r="S10" s="194">
        <v>166</v>
      </c>
      <c r="T10" s="194">
        <v>41</v>
      </c>
      <c r="U10" s="194">
        <v>67</v>
      </c>
      <c r="V10" s="194">
        <v>140</v>
      </c>
      <c r="W10" s="194">
        <v>36</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1061</v>
      </c>
      <c r="AT10" s="205"/>
      <c r="AU10" s="213"/>
      <c r="AV10" s="205"/>
      <c r="AW10" s="213"/>
      <c r="AX10" s="205"/>
      <c r="AY10" s="138">
        <f t="shared" ref="AY10:BC10" si="0">IF(ISNUMBER(S10),S10," - ")</f>
        <v>166</v>
      </c>
      <c r="AZ10" s="139">
        <f t="shared" si="0"/>
        <v>41</v>
      </c>
      <c r="BA10" s="139">
        <f t="shared" si="0"/>
        <v>67</v>
      </c>
      <c r="BB10" s="139">
        <f t="shared" si="0"/>
        <v>140</v>
      </c>
      <c r="BC10" s="135">
        <f t="shared" si="0"/>
        <v>36</v>
      </c>
      <c r="BD10" s="136">
        <f>IF(ISNUMBER(BA10/AZ10),BA10/AZ10," - ")</f>
        <v>1.6341463414634145</v>
      </c>
      <c r="BE10" s="137">
        <f>IF(ISNUMBER(BB10/BA10),BB10/BA10, " - ")</f>
        <v>2.08955223880597</v>
      </c>
      <c r="BF10" s="137">
        <f>IF(ISNUMBER(BC10/BA10),BC10/BA10, " - ")</f>
        <v>0.53731343283582089</v>
      </c>
      <c r="BG10" s="209">
        <f>IF(ISNUMBER((AY10+AZ10)/BA10),(AY10+AZ10)/BA10," - ")</f>
        <v>3.08955223880597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571</v>
      </c>
      <c r="J11" s="196">
        <v>288</v>
      </c>
      <c r="K11" s="196">
        <v>241</v>
      </c>
      <c r="L11" s="196">
        <v>657</v>
      </c>
      <c r="M11" s="196">
        <v>126</v>
      </c>
      <c r="N11" s="196">
        <v>175</v>
      </c>
      <c r="O11" s="194">
        <v>77</v>
      </c>
      <c r="P11" s="196">
        <v>37</v>
      </c>
      <c r="Q11" s="196">
        <v>18</v>
      </c>
      <c r="R11" s="196">
        <v>512</v>
      </c>
      <c r="S11" s="196">
        <v>649</v>
      </c>
      <c r="T11" s="196">
        <v>284</v>
      </c>
      <c r="U11" s="196">
        <v>294</v>
      </c>
      <c r="V11" s="196">
        <v>639</v>
      </c>
      <c r="W11" s="196">
        <v>166</v>
      </c>
      <c r="X11" s="202">
        <v>158</v>
      </c>
      <c r="Y11" s="204">
        <v>144</v>
      </c>
      <c r="Z11" s="194">
        <v>111</v>
      </c>
      <c r="AA11" s="194">
        <v>114</v>
      </c>
      <c r="AB11" s="194">
        <v>54</v>
      </c>
      <c r="AC11" s="196">
        <v>0</v>
      </c>
      <c r="AD11" s="196">
        <v>0</v>
      </c>
      <c r="AE11" s="196">
        <v>0</v>
      </c>
      <c r="AF11" s="202">
        <v>0</v>
      </c>
      <c r="AG11" s="215">
        <v>130</v>
      </c>
      <c r="AH11" s="196">
        <v>90</v>
      </c>
      <c r="AI11" s="196">
        <v>97</v>
      </c>
      <c r="AJ11" s="216">
        <v>123</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779</v>
      </c>
      <c r="AZ11" s="137">
        <f t="shared" si="1"/>
        <v>374</v>
      </c>
      <c r="BA11" s="137">
        <f t="shared" si="1"/>
        <v>391</v>
      </c>
      <c r="BB11" s="137">
        <f t="shared" si="1"/>
        <v>762</v>
      </c>
      <c r="BC11" s="135">
        <f>IF(ISNUMBER(X11),X11," - ")</f>
        <v>158</v>
      </c>
      <c r="BD11" s="136">
        <f t="shared" ref="BD11:BD13" si="2">IF(ISNUMBER(BA11/AZ11),BA11/AZ11," - ")</f>
        <v>1.0454545454545454</v>
      </c>
      <c r="BE11" s="137">
        <f t="shared" ref="BE11:BE13" si="3">IF(ISNUMBER(BB11/BA11),BB11/BA11, " - ")</f>
        <v>1.948849104859335</v>
      </c>
      <c r="BF11" s="137">
        <f t="shared" ref="BF11:BF13" si="4">IF(ISNUMBER(BC11/BA11),BC11/BA11, " - ")</f>
        <v>0.40409207161125321</v>
      </c>
      <c r="BG11" s="209">
        <f t="shared" ref="BG11:BG13" si="5">IF(ISNUMBER((AY11+AZ11)/BA11),(AY11+AZ11)/BA11," - ")</f>
        <v>2.948849104859335</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1</v>
      </c>
      <c r="J12" s="196">
        <v>0</v>
      </c>
      <c r="K12" s="196">
        <v>0</v>
      </c>
      <c r="L12" s="196">
        <v>1</v>
      </c>
      <c r="M12" s="196">
        <v>0</v>
      </c>
      <c r="N12" s="196">
        <v>0</v>
      </c>
      <c r="O12" s="194">
        <v>0</v>
      </c>
      <c r="P12" s="196">
        <v>0</v>
      </c>
      <c r="Q12" s="196">
        <v>2</v>
      </c>
      <c r="R12" s="196">
        <v>59</v>
      </c>
      <c r="S12" s="196">
        <v>1</v>
      </c>
      <c r="T12" s="196">
        <v>0</v>
      </c>
      <c r="U12" s="196">
        <v>0</v>
      </c>
      <c r="V12" s="196">
        <v>1</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1</v>
      </c>
      <c r="AZ12" s="137">
        <f t="shared" si="1"/>
        <v>0</v>
      </c>
      <c r="BA12" s="137">
        <f t="shared" si="1"/>
        <v>0</v>
      </c>
      <c r="BB12" s="137">
        <f t="shared" si="1"/>
        <v>1</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3450</v>
      </c>
      <c r="J14" s="197">
        <f t="shared" si="7"/>
        <v>2301</v>
      </c>
      <c r="K14" s="197">
        <f t="shared" si="7"/>
        <v>2154</v>
      </c>
      <c r="L14" s="197">
        <f t="shared" si="7"/>
        <v>3636</v>
      </c>
      <c r="M14" s="197">
        <f t="shared" si="7"/>
        <v>676</v>
      </c>
      <c r="N14" s="197">
        <f t="shared" si="7"/>
        <v>838</v>
      </c>
      <c r="O14" s="197">
        <f t="shared" si="7"/>
        <v>1232</v>
      </c>
      <c r="P14" s="197">
        <f t="shared" si="7"/>
        <v>674</v>
      </c>
      <c r="Q14" s="197">
        <f t="shared" si="7"/>
        <v>797</v>
      </c>
      <c r="R14" s="197">
        <f t="shared" si="7"/>
        <v>6928</v>
      </c>
      <c r="S14" s="197">
        <f t="shared" si="7"/>
        <v>3906</v>
      </c>
      <c r="T14" s="197">
        <f t="shared" si="7"/>
        <v>2028</v>
      </c>
      <c r="U14" s="197">
        <f t="shared" si="7"/>
        <v>2362</v>
      </c>
      <c r="V14" s="197">
        <f t="shared" si="7"/>
        <v>3572</v>
      </c>
      <c r="W14" s="197">
        <f t="shared" si="7"/>
        <v>734</v>
      </c>
      <c r="X14" s="197">
        <f t="shared" si="7"/>
        <v>1028</v>
      </c>
      <c r="Y14" s="197">
        <f t="shared" si="7"/>
        <v>189</v>
      </c>
      <c r="Z14" s="197">
        <f t="shared" si="7"/>
        <v>196</v>
      </c>
      <c r="AA14" s="197">
        <f t="shared" si="7"/>
        <v>207</v>
      </c>
      <c r="AB14" s="197">
        <f t="shared" si="7"/>
        <v>91</v>
      </c>
      <c r="AC14" s="197">
        <f t="shared" si="7"/>
        <v>0</v>
      </c>
      <c r="AD14" s="197">
        <f t="shared" si="7"/>
        <v>0</v>
      </c>
      <c r="AE14" s="197">
        <f t="shared" si="7"/>
        <v>0</v>
      </c>
      <c r="AF14" s="197">
        <f>SUBTOTAL(9,AF9:AF13)</f>
        <v>0</v>
      </c>
      <c r="AG14" s="197">
        <f t="shared" ref="AG14:AT14" si="8">SUBTOTAL(9,AG8:AG13)</f>
        <v>195</v>
      </c>
      <c r="AH14" s="197">
        <f t="shared" si="8"/>
        <v>195</v>
      </c>
      <c r="AI14" s="197">
        <f t="shared" si="8"/>
        <v>215</v>
      </c>
      <c r="AJ14" s="197">
        <f t="shared" si="8"/>
        <v>175</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4101</v>
      </c>
      <c r="AZ14" s="197">
        <f>SUBTOTAL(9,AZ8:AZ13)</f>
        <v>2223</v>
      </c>
      <c r="BA14" s="197">
        <f>SUBTOTAL(9,BA8:BA13)</f>
        <v>2577</v>
      </c>
      <c r="BB14" s="197">
        <f>SUBTOTAL(9,BB8:BB13)</f>
        <v>3747</v>
      </c>
      <c r="BC14" s="197">
        <f>SUBTOTAL(9,BC8:BC13)</f>
        <v>1048</v>
      </c>
      <c r="BD14" s="219">
        <f>IF(ISNUMBER(BA14/AZ14),BA14/AZ14," - ")</f>
        <v>1.1592442645074224</v>
      </c>
      <c r="BE14" s="220">
        <f>IF(ISNUMBER(BB14/BA14),BB14/BA14, " - ")</f>
        <v>1.4540162980209546</v>
      </c>
      <c r="BF14" s="220">
        <f>IF(ISNUMBER(BC14/BA14),BC14/BA14, " - ")</f>
        <v>0.406674427629026</v>
      </c>
      <c r="BG14" s="221">
        <f>IF(ISNUMBER((AY14+AZ14)/BA14),(AY14+AZ14)/BA14," - ")</f>
        <v>2.4540162980209548</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1711</v>
      </c>
      <c r="J16" s="196">
        <v>1651</v>
      </c>
      <c r="K16" s="196">
        <v>1621</v>
      </c>
      <c r="L16" s="196">
        <v>1752</v>
      </c>
      <c r="M16" s="196">
        <v>296</v>
      </c>
      <c r="N16" s="196">
        <v>833</v>
      </c>
      <c r="O16" s="194">
        <v>57</v>
      </c>
      <c r="P16" s="196">
        <v>115</v>
      </c>
      <c r="Q16" s="196">
        <v>110</v>
      </c>
      <c r="R16" s="196">
        <v>278</v>
      </c>
      <c r="S16" s="196">
        <v>1631</v>
      </c>
      <c r="T16" s="196">
        <v>1387</v>
      </c>
      <c r="U16" s="196">
        <v>1536</v>
      </c>
      <c r="V16" s="196">
        <v>1412</v>
      </c>
      <c r="W16" s="196">
        <v>244</v>
      </c>
      <c r="X16" s="202">
        <v>733</v>
      </c>
      <c r="Y16" s="215">
        <v>0</v>
      </c>
      <c r="Z16" s="196">
        <v>0</v>
      </c>
      <c r="AA16" s="196">
        <v>0</v>
      </c>
      <c r="AB16" s="196">
        <v>0</v>
      </c>
      <c r="AC16" s="196">
        <v>0</v>
      </c>
      <c r="AD16" s="196">
        <v>50</v>
      </c>
      <c r="AE16" s="196">
        <v>50</v>
      </c>
      <c r="AF16" s="202">
        <v>0</v>
      </c>
      <c r="AG16" s="215">
        <v>0</v>
      </c>
      <c r="AH16" s="196">
        <v>0</v>
      </c>
      <c r="AI16" s="196">
        <v>0</v>
      </c>
      <c r="AJ16" s="216">
        <v>0</v>
      </c>
      <c r="AK16" s="195">
        <v>13</v>
      </c>
      <c r="AL16" s="196">
        <v>35</v>
      </c>
      <c r="AM16" s="196">
        <v>36</v>
      </c>
      <c r="AN16" s="202">
        <v>2</v>
      </c>
      <c r="AO16" s="283">
        <v>3</v>
      </c>
      <c r="AP16" s="168">
        <v>3</v>
      </c>
      <c r="AQ16" s="168">
        <v>3</v>
      </c>
      <c r="AR16" s="168">
        <v>3</v>
      </c>
      <c r="AS16" s="381" t="s">
        <v>697</v>
      </c>
      <c r="AT16" s="216" t="s">
        <v>420</v>
      </c>
      <c r="AU16" s="215"/>
      <c r="AV16" s="216"/>
      <c r="AW16" s="215"/>
      <c r="AX16" s="216"/>
      <c r="AY16" s="138">
        <f t="shared" ref="AY16:BB17" si="10">IF(ISNUMBER(IF(D_I="SI",S16,S16+AK16)),IF(D_I="SI",S16,S16+AK16)," - ")</f>
        <v>1631</v>
      </c>
      <c r="AZ16" s="139">
        <f t="shared" si="10"/>
        <v>1387</v>
      </c>
      <c r="BA16" s="139">
        <f t="shared" si="10"/>
        <v>1536</v>
      </c>
      <c r="BB16" s="139">
        <f t="shared" si="10"/>
        <v>1412</v>
      </c>
      <c r="BC16" s="135">
        <f>IF(ISNUMBER(W16),W16," - ")</f>
        <v>244</v>
      </c>
      <c r="BD16" s="136">
        <f>IF(ISNUMBER(BA16/AZ16),BA16/AZ16," - ")</f>
        <v>1.1074260994953136</v>
      </c>
      <c r="BE16" s="137">
        <f>IF(ISNUMBER(BB16/BA16),BB16/BA16, " - ")</f>
        <v>0.91927083333333337</v>
      </c>
      <c r="BF16" s="137">
        <f>IF(ISNUMBER(BC16/BA16),BC16/BA16, " - ")</f>
        <v>0.15885416666666666</v>
      </c>
      <c r="BG16" s="209">
        <f t="shared" ref="BG16:BG22" si="11">IF(ISNUMBER((AY16+AZ16)/BA16),(AY16+AZ16)/BA16," - ")</f>
        <v>1.96484375</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244</v>
      </c>
      <c r="J18" s="196">
        <v>227</v>
      </c>
      <c r="K18" s="196">
        <v>240</v>
      </c>
      <c r="L18" s="196">
        <v>231</v>
      </c>
      <c r="M18" s="196">
        <v>44</v>
      </c>
      <c r="N18" s="196">
        <v>127</v>
      </c>
      <c r="O18" s="196">
        <v>1</v>
      </c>
      <c r="P18" s="196">
        <v>7</v>
      </c>
      <c r="Q18" s="196">
        <v>1</v>
      </c>
      <c r="R18" s="196">
        <v>8</v>
      </c>
      <c r="S18" s="196">
        <v>258</v>
      </c>
      <c r="T18" s="196">
        <v>212</v>
      </c>
      <c r="U18" s="196">
        <v>201</v>
      </c>
      <c r="V18" s="196">
        <v>269</v>
      </c>
      <c r="W18" s="196">
        <v>18</v>
      </c>
      <c r="X18" s="202">
        <v>97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1060</v>
      </c>
      <c r="AT18" s="223"/>
      <c r="AU18" s="213"/>
      <c r="AV18" s="223"/>
      <c r="AW18" s="213"/>
      <c r="AX18" s="223"/>
      <c r="AY18" s="138">
        <f t="shared" ref="AY18:BB19" si="15">IF(ISNUMBER(S18),S18," - ")</f>
        <v>258</v>
      </c>
      <c r="AZ18" s="139">
        <f t="shared" si="15"/>
        <v>212</v>
      </c>
      <c r="BA18" s="139">
        <f t="shared" si="15"/>
        <v>201</v>
      </c>
      <c r="BB18" s="139">
        <f t="shared" si="15"/>
        <v>269</v>
      </c>
      <c r="BC18" s="135">
        <f>IF(ISNUMBER(W18),W18," - ")</f>
        <v>18</v>
      </c>
      <c r="BD18" s="136">
        <f>IF(ISNUMBER(BA18/AZ18),BA18/AZ18," - ")</f>
        <v>0.94811320754716977</v>
      </c>
      <c r="BE18" s="137">
        <f>IF(ISNUMBER(BB18/BA18),BB18/BA18, " - ")</f>
        <v>1.3383084577114428</v>
      </c>
      <c r="BF18" s="137">
        <f>IF(ISNUMBER(BC18/BA18),BC18/BA18, " - ")</f>
        <v>8.9552238805970144E-2</v>
      </c>
      <c r="BG18" s="209">
        <f>IF(ISNUMBER((AY18+AZ18)/BA18),(AY18+AZ18)/BA18," - ")</f>
        <v>2.3383084577114426</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v>258</v>
      </c>
      <c r="J20" s="196">
        <v>292</v>
      </c>
      <c r="K20" s="196">
        <v>226</v>
      </c>
      <c r="L20" s="196">
        <v>324</v>
      </c>
      <c r="M20" s="196" t="s">
        <v>1183</v>
      </c>
      <c r="N20" s="534">
        <v>201</v>
      </c>
      <c r="O20" s="534">
        <v>0</v>
      </c>
      <c r="P20" s="196" t="s">
        <v>1183</v>
      </c>
      <c r="Q20" s="196" t="s">
        <v>1183</v>
      </c>
      <c r="R20" s="196" t="s">
        <v>1183</v>
      </c>
      <c r="S20" s="196">
        <v>270</v>
      </c>
      <c r="T20" s="196">
        <v>228</v>
      </c>
      <c r="U20" s="196">
        <v>271</v>
      </c>
      <c r="V20" s="196">
        <v>227</v>
      </c>
      <c r="W20" s="196" t="s">
        <v>1183</v>
      </c>
      <c r="X20" s="202">
        <v>247</v>
      </c>
      <c r="Y20" s="215">
        <v>0</v>
      </c>
      <c r="Z20" s="196">
        <v>0</v>
      </c>
      <c r="AA20" s="196">
        <v>0</v>
      </c>
      <c r="AB20" s="196">
        <v>0</v>
      </c>
      <c r="AC20" s="196">
        <v>0</v>
      </c>
      <c r="AD20" s="196">
        <v>0</v>
      </c>
      <c r="AE20" s="196">
        <v>0</v>
      </c>
      <c r="AF20" s="202">
        <v>0</v>
      </c>
      <c r="AG20" s="215">
        <v>0</v>
      </c>
      <c r="AH20" s="196">
        <v>0</v>
      </c>
      <c r="AI20" s="196">
        <v>0</v>
      </c>
      <c r="AJ20" s="216">
        <v>0</v>
      </c>
      <c r="AK20" s="195">
        <v>0</v>
      </c>
      <c r="AL20" s="196">
        <v>0</v>
      </c>
      <c r="AM20" s="196">
        <v>0</v>
      </c>
      <c r="AN20" s="202">
        <v>0</v>
      </c>
      <c r="AO20" s="283">
        <v>0</v>
      </c>
      <c r="AP20" s="168">
        <v>0</v>
      </c>
      <c r="AQ20" s="168">
        <v>0</v>
      </c>
      <c r="AR20" s="168">
        <v>0</v>
      </c>
      <c r="AS20" s="196" t="s">
        <v>69</v>
      </c>
      <c r="AT20" s="216"/>
      <c r="AU20" s="215"/>
      <c r="AV20" s="216"/>
      <c r="AW20" s="215"/>
      <c r="AX20" s="216"/>
      <c r="AY20" s="138">
        <f t="shared" ref="AY20:AY22" si="16">IF(ISNUMBER(S20),S20," - ")</f>
        <v>270</v>
      </c>
      <c r="AZ20" s="139">
        <f t="shared" ref="AZ20:AZ22" si="17">IF(ISNUMBER(T20),T20," - ")</f>
        <v>228</v>
      </c>
      <c r="BA20" s="139">
        <f t="shared" ref="BA20:BA22" si="18">IF(ISNUMBER(U20),U20," - ")</f>
        <v>271</v>
      </c>
      <c r="BB20" s="139">
        <f t="shared" ref="BB20:BB22" si="19">IF(ISNUMBER(V20),V20," - ")</f>
        <v>227</v>
      </c>
      <c r="BC20" s="135" t="str">
        <f t="shared" ref="BC20:BC22" si="20">IF(ISNUMBER(W20),W20," - ")</f>
        <v xml:space="preserve"> - </v>
      </c>
      <c r="BD20" s="136">
        <f t="shared" si="12"/>
        <v>1.1885964912280702</v>
      </c>
      <c r="BE20" s="137">
        <f t="shared" si="13"/>
        <v>0.83763837638376382</v>
      </c>
      <c r="BF20" s="137" t="str">
        <f t="shared" si="14"/>
        <v xml:space="preserve"> - </v>
      </c>
      <c r="BG20" s="209">
        <f t="shared" si="11"/>
        <v>1.8376383763837638</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2213</v>
      </c>
      <c r="J23" s="197">
        <f t="shared" si="21"/>
        <v>2170</v>
      </c>
      <c r="K23" s="197">
        <f t="shared" si="21"/>
        <v>2087</v>
      </c>
      <c r="L23" s="197">
        <f t="shared" si="21"/>
        <v>2307</v>
      </c>
      <c r="M23" s="197">
        <f t="shared" si="21"/>
        <v>340</v>
      </c>
      <c r="N23" s="197">
        <f t="shared" si="21"/>
        <v>1161</v>
      </c>
      <c r="O23" s="197">
        <f t="shared" si="21"/>
        <v>58</v>
      </c>
      <c r="P23" s="197">
        <f t="shared" si="21"/>
        <v>122</v>
      </c>
      <c r="Q23" s="197">
        <f t="shared" si="21"/>
        <v>111</v>
      </c>
      <c r="R23" s="197">
        <f t="shared" si="21"/>
        <v>286</v>
      </c>
      <c r="S23" s="197">
        <f t="shared" si="21"/>
        <v>2159</v>
      </c>
      <c r="T23" s="197">
        <f t="shared" si="21"/>
        <v>1827</v>
      </c>
      <c r="U23" s="197">
        <f t="shared" si="21"/>
        <v>2008</v>
      </c>
      <c r="V23" s="197">
        <f t="shared" si="21"/>
        <v>1908</v>
      </c>
      <c r="W23" s="197">
        <f t="shared" si="21"/>
        <v>262</v>
      </c>
      <c r="X23" s="197">
        <f t="shared" si="21"/>
        <v>1077</v>
      </c>
      <c r="Y23" s="197">
        <f t="shared" si="21"/>
        <v>0</v>
      </c>
      <c r="Z23" s="197">
        <f t="shared" si="21"/>
        <v>0</v>
      </c>
      <c r="AA23" s="197">
        <f t="shared" si="21"/>
        <v>0</v>
      </c>
      <c r="AB23" s="197">
        <f t="shared" si="21"/>
        <v>0</v>
      </c>
      <c r="AC23" s="197">
        <f t="shared" si="21"/>
        <v>0</v>
      </c>
      <c r="AD23" s="197">
        <f t="shared" si="21"/>
        <v>50</v>
      </c>
      <c r="AE23" s="197">
        <f t="shared" si="21"/>
        <v>50</v>
      </c>
      <c r="AF23" s="197">
        <f t="shared" si="21"/>
        <v>0</v>
      </c>
      <c r="AG23" s="197">
        <f t="shared" si="21"/>
        <v>0</v>
      </c>
      <c r="AH23" s="197">
        <f t="shared" si="21"/>
        <v>0</v>
      </c>
      <c r="AI23" s="197">
        <f t="shared" si="21"/>
        <v>0</v>
      </c>
      <c r="AJ23" s="197">
        <f t="shared" si="21"/>
        <v>0</v>
      </c>
      <c r="AK23" s="197">
        <f t="shared" si="21"/>
        <v>13</v>
      </c>
      <c r="AL23" s="197">
        <f t="shared" si="21"/>
        <v>35</v>
      </c>
      <c r="AM23" s="197">
        <f t="shared" si="21"/>
        <v>36</v>
      </c>
      <c r="AN23" s="197">
        <f t="shared" si="21"/>
        <v>2</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2159</v>
      </c>
      <c r="AZ23" s="197">
        <f>SUBTOTAL(9,AZ15:AZ22)</f>
        <v>1827</v>
      </c>
      <c r="BA23" s="197">
        <f>SUBTOTAL(9,BA15:BA22)</f>
        <v>2008</v>
      </c>
      <c r="BB23" s="197">
        <f>SUBTOTAL(9,BB15:BB22)</f>
        <v>1908</v>
      </c>
      <c r="BC23" s="197">
        <f>SUBTOTAL(9,BC15:BC22)</f>
        <v>262</v>
      </c>
      <c r="BD23" s="219">
        <f>IF(ISNUMBER(BA23/AZ23),BA23/AZ23," - ")</f>
        <v>1.0990695128626162</v>
      </c>
      <c r="BE23" s="220">
        <f>IF(ISNUMBER(BB23/BA23),BB23/BA23, " - ")</f>
        <v>0.95019920318725104</v>
      </c>
      <c r="BF23" s="220">
        <f>IF(ISNUMBER(BC23/BA23),BC23/BA23, " - ")</f>
        <v>0.13047808764940239</v>
      </c>
      <c r="BG23" s="221">
        <f>IF(ISNUMBER((AY23+AZ23)/BA23),(AY23+AZ23)/BA23," - ")</f>
        <v>1.9850597609561753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5663</v>
      </c>
      <c r="J31" s="144">
        <f t="shared" si="36"/>
        <v>4471</v>
      </c>
      <c r="K31" s="144">
        <f t="shared" si="36"/>
        <v>4241</v>
      </c>
      <c r="L31" s="144">
        <f t="shared" si="36"/>
        <v>5943</v>
      </c>
      <c r="M31" s="144">
        <f t="shared" si="36"/>
        <v>1016</v>
      </c>
      <c r="N31" s="144">
        <f t="shared" si="36"/>
        <v>1999</v>
      </c>
      <c r="O31" s="144">
        <f t="shared" si="36"/>
        <v>1290</v>
      </c>
      <c r="P31" s="144">
        <f t="shared" si="36"/>
        <v>796</v>
      </c>
      <c r="Q31" s="144">
        <f t="shared" si="36"/>
        <v>908</v>
      </c>
      <c r="R31" s="144">
        <f t="shared" si="36"/>
        <v>7214</v>
      </c>
      <c r="S31" s="144">
        <f t="shared" si="36"/>
        <v>6065</v>
      </c>
      <c r="T31" s="144">
        <f t="shared" si="36"/>
        <v>3855</v>
      </c>
      <c r="U31" s="144">
        <f t="shared" si="36"/>
        <v>4370</v>
      </c>
      <c r="V31" s="144">
        <f t="shared" si="36"/>
        <v>5480</v>
      </c>
      <c r="W31" s="144">
        <f t="shared" si="36"/>
        <v>996</v>
      </c>
      <c r="X31" s="144">
        <f t="shared" si="36"/>
        <v>2105</v>
      </c>
      <c r="Y31" s="144">
        <f t="shared" si="36"/>
        <v>189</v>
      </c>
      <c r="Z31" s="144">
        <f t="shared" si="36"/>
        <v>196</v>
      </c>
      <c r="AA31" s="144">
        <f t="shared" si="36"/>
        <v>207</v>
      </c>
      <c r="AB31" s="144">
        <f t="shared" si="36"/>
        <v>91</v>
      </c>
      <c r="AC31" s="144">
        <f t="shared" si="36"/>
        <v>0</v>
      </c>
      <c r="AD31" s="144">
        <f t="shared" si="36"/>
        <v>50</v>
      </c>
      <c r="AE31" s="144">
        <f t="shared" si="36"/>
        <v>50</v>
      </c>
      <c r="AF31" s="144">
        <f t="shared" si="36"/>
        <v>0</v>
      </c>
      <c r="AG31" s="144">
        <f t="shared" si="36"/>
        <v>195</v>
      </c>
      <c r="AH31" s="144">
        <f t="shared" si="36"/>
        <v>195</v>
      </c>
      <c r="AI31" s="144">
        <f t="shared" si="36"/>
        <v>215</v>
      </c>
      <c r="AJ31" s="144">
        <f t="shared" si="36"/>
        <v>175</v>
      </c>
      <c r="AK31" s="144">
        <f t="shared" si="36"/>
        <v>13</v>
      </c>
      <c r="AL31" s="144">
        <f t="shared" si="36"/>
        <v>35</v>
      </c>
      <c r="AM31" s="144">
        <f t="shared" si="36"/>
        <v>36</v>
      </c>
      <c r="AN31" s="224">
        <f t="shared" si="36"/>
        <v>2</v>
      </c>
      <c r="AO31" s="225">
        <v>11</v>
      </c>
      <c r="AP31" s="225">
        <v>11</v>
      </c>
      <c r="AQ31" s="225">
        <v>11</v>
      </c>
      <c r="AR31" s="225">
        <v>11</v>
      </c>
      <c r="AS31" s="166">
        <f t="shared" si="36"/>
        <v>0</v>
      </c>
      <c r="AT31" s="166">
        <f t="shared" si="36"/>
        <v>0</v>
      </c>
      <c r="AU31" s="225"/>
      <c r="AV31" s="226"/>
      <c r="AW31" s="225"/>
      <c r="AX31" s="226"/>
      <c r="AY31" s="143">
        <f>SUBTOTAL(9,AY9:AY30)</f>
        <v>6260</v>
      </c>
      <c r="AZ31" s="144">
        <f>SUBTOTAL(9,AZ9:AZ30)</f>
        <v>4050</v>
      </c>
      <c r="BA31" s="144">
        <f>SUBTOTAL(9,BA9:BA30)</f>
        <v>4585</v>
      </c>
      <c r="BB31" s="144">
        <f>SUBTOTAL(9,BB9:BB30)</f>
        <v>5655</v>
      </c>
      <c r="BC31" s="145">
        <f>SUBTOTAL(9,BC9:BC30)</f>
        <v>1310</v>
      </c>
      <c r="BD31" s="227">
        <f>IF(ISNUMBER(BA31/AZ31),BA31/AZ31," - ")</f>
        <v>1.1320987654320989</v>
      </c>
      <c r="BE31" s="224">
        <f>IF(ISNUMBER(BB31/BA31),BB31/BA31, " - ")</f>
        <v>1.2333696837513632</v>
      </c>
      <c r="BF31" s="224">
        <f>IF(ISNUMBER(BC31/BA31),BC31/BA31, " - ")</f>
        <v>0.2857142857142857</v>
      </c>
      <c r="BG31" s="145">
        <f>IF(ISNUMBER((AY31+AZ31)/BA31),(AY31+AZ31)/BA31," - ")</f>
        <v>2.2486368593238821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RKPTBo8CXwTlpEs8nESmDfz7S7k5XOsoMR1v8dt2uzy9Bs/y/ZB0k8qTlGunyXaVgxiWLg7UkfysSgheivjig==" saltValue="O/74e8LA/356+Gnr9Vu5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36NJ5JvEvTTFpPfrqZR22FccrybDCHjrP1DctOu//1Znz4gsw2pPvMthP6grf+K3nKk694ySPKAXjcPZntgyA==" saltValue="LJY1rqEiVPqhG2u0Z7C5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LA RIOJA</v>
      </c>
      <c r="F1" s="578"/>
    </row>
    <row r="2" spans="1:74" ht="16.5" customHeight="1">
      <c r="C2" s="567" t="str">
        <f>Criterios!A10 &amp;"  "&amp;Criterios!B10 &amp; "  " &amp; IF(NOT(ISBLANK(Criterios!A11)),Criterios!A11 &amp;"  "&amp;Criterios!B11,"")</f>
        <v>Provincias  LA RIOJA  Resumenes por Partidos Judiciales  LOGROÑO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1 al 1</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317</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85</v>
      </c>
      <c r="O9" s="549"/>
      <c r="P9" s="549"/>
      <c r="Q9" s="547">
        <f>IF(ISNUMBER(Datos!P9),Datos!P9,0)</f>
        <v>623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771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37</v>
      </c>
      <c r="AI9" s="549" t="str">
        <f>IF(ISNUMBER(Datos!CD9),Datos!CD9,"-")</f>
        <v>-</v>
      </c>
      <c r="AJ9" s="549" t="str">
        <f>IF(ISNUMBER(Datos!EN9),Datos!EN9," - ")</f>
        <v xml:space="preserve"> - </v>
      </c>
      <c r="AK9" s="549"/>
      <c r="AL9" s="550"/>
      <c r="AM9" s="766">
        <f>IF(ISNUMBER(Datos!R9),Datos!R9," - ")</f>
        <v>6213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526</v>
      </c>
      <c r="BD9" s="693">
        <f>IF(ISNUMBER(Datos!N9),Datos!N9," - ")</f>
        <v>647</v>
      </c>
      <c r="BE9" s="693" t="str">
        <f>IF(ISNUMBER(Datos!BW9),Datos!BW9," - ")</f>
        <v xml:space="preserve"> - </v>
      </c>
      <c r="BF9" s="762" t="str">
        <f>IF(ISNUMBER(Datos!BX9),Datos!BX9," - ")</f>
        <v xml:space="preserve"> - </v>
      </c>
      <c r="BG9" s="763">
        <f>IF(ISNUMBER(IF(J_V="SI",Datos!K9/Datos!J9,(Datos!K9+Datos!AA9)/(Datos!J9+Datos!Z9))),IF(J_V="SI",Datos!K9/Datos!J9,(Datos!K9+Datos!AA9)/(Datos!J9+Datos!Z9))," - ")</f>
        <v>0.95953193564115069</v>
      </c>
      <c r="BH9" s="764">
        <f>IF(ISNUMBER(((IF(J_V="SI",Datos!L9/Datos!K9,(Datos!L9+Datos!AB9)/(Datos!K9+Datos!AA9)))*11)/factor_trimestre),((IF(J_V="SI",Datos!L9/Datos!K9,(Datos!L9+Datos!AB9)/(Datos!K9+Datos!AA9)))*11)/factor_trimestre," - ")</f>
        <v>4.3887195121951228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-2.3266781952523189E-2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127</v>
      </c>
      <c r="G10" s="543">
        <f>IF(ISNUMBER(Datos!I10),Datos!I10," - ")</f>
        <v>127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38</v>
      </c>
      <c r="AC10" s="547">
        <f>IF(ISNUMBER(Datos!Q10),Datos!Q10," - ")</f>
        <v>6</v>
      </c>
      <c r="AD10" s="549"/>
      <c r="AE10" s="563"/>
      <c r="AF10" s="551">
        <f>IF(ISNUMBER(Datos!L10),Datos!L10,"-")</f>
        <v>136</v>
      </c>
      <c r="AG10" s="549"/>
      <c r="AH10" s="549"/>
      <c r="AI10" s="549"/>
      <c r="AJ10" s="549"/>
      <c r="AK10" s="549"/>
      <c r="AL10" s="550"/>
      <c r="AM10" s="766">
        <f>IF(ISNUMBER(Datos!R10),Datos!R10," - ")</f>
        <v>144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24</v>
      </c>
      <c r="BD10" s="693">
        <f>IF(ISNUMBER(Datos!N10),Datos!N10," - ")</f>
        <v>16</v>
      </c>
      <c r="BE10" s="693" t="str">
        <f>IF(ISNUMBER(Datos!BW10),Datos!BW10," - ")</f>
        <v xml:space="preserve"> - </v>
      </c>
      <c r="BF10" s="762" t="str">
        <f>IF(ISNUMBER(Datos!BX10),Datos!BX10," - ")</f>
        <v xml:space="preserve"> - </v>
      </c>
      <c r="BG10" s="763">
        <f>IF(ISNUMBER(Datos!K10/Datos!J10),Datos!K10/Datos!J10," - ")</f>
        <v>0.80851063829787229</v>
      </c>
      <c r="BH10" s="764">
        <f>IF(ISNUMBER(((Datos!L10/Datos!K10)*11)/factor_trimestre),((Datos!L10/Datos!K10)*11)/factor_trimestre," - ")</f>
        <v>10.736842105263159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5.8823529411764705E-2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111</v>
      </c>
      <c r="O11" s="549"/>
      <c r="P11" s="549"/>
      <c r="Q11" s="547">
        <f>IF(ISNUMBER(Datos!P11),Datos!P11,0)</f>
        <v>37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18</v>
      </c>
      <c r="AD11" s="549"/>
      <c r="AE11" s="563"/>
      <c r="AF11" s="551" t="str">
        <f>IF(ISNUMBER(IF(J_V="SI",Datos!L11,Datos!L11+Datos!AB11)-IF(Monitorios="SI",Datos!CD11,0)),
                          IF(J_V="SI",Datos!L11,Datos!L11+Datos!AB11)-IF(Monitorios="SI",Datos!CD11,0),
                          " - ")</f>
        <v xml:space="preserve"> - </v>
      </c>
      <c r="AG11" s="549"/>
      <c r="AH11" s="549">
        <f>IF(ISNUMBER(Datos!AB11),Datos!AB11,"-")</f>
        <v>54</v>
      </c>
      <c r="AI11" s="549"/>
      <c r="AJ11" s="549"/>
      <c r="AK11" s="549"/>
      <c r="AL11" s="550"/>
      <c r="AM11" s="766">
        <f>IF(ISNUMBER(Datos!R11),Datos!R11," - ")</f>
        <v>512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126</v>
      </c>
      <c r="BD11" s="693">
        <f>IF(ISNUMBER(Datos!N11),Datos!N11," - ")</f>
        <v>175</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0.88972431077694236</v>
      </c>
      <c r="BH11" s="764">
        <f>IF(ISNUMBER(((IF(J_V="SI",Datos!L11/Datos!K11,(Datos!L11+Datos!AB11)/(Datos!K11+Datos!AA11)))*11)/factor_trimestre),((IF(J_V="SI",Datos!L11/Datos!K11,(Datos!L11+Datos!AB11)/(Datos!K11+Datos!AA11)))*11)/factor_trimestre," - ")</f>
        <v>6.0084507042253525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3.8539553752535496E-2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59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-3.2786885245901641E-2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127</v>
      </c>
      <c r="G14" s="1197">
        <f t="shared" si="1"/>
        <v>127</v>
      </c>
      <c r="H14" s="1198">
        <f t="shared" si="1"/>
        <v>0</v>
      </c>
      <c r="I14" s="1197">
        <f t="shared" si="1"/>
        <v>0</v>
      </c>
      <c r="J14" s="1164">
        <f t="shared" si="1"/>
        <v>0</v>
      </c>
      <c r="K14" s="1164">
        <f t="shared" si="1"/>
        <v>0</v>
      </c>
      <c r="L14" s="1198">
        <f t="shared" si="1"/>
        <v>0</v>
      </c>
      <c r="M14" s="1198">
        <f t="shared" si="1"/>
        <v>0</v>
      </c>
      <c r="N14" s="1198">
        <f t="shared" si="1"/>
        <v>196</v>
      </c>
      <c r="O14" s="1199">
        <f t="shared" si="1"/>
        <v>0</v>
      </c>
      <c r="P14" s="1199">
        <f t="shared" si="1"/>
        <v>0</v>
      </c>
      <c r="Q14" s="1198">
        <f t="shared" si="1"/>
        <v>674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38</v>
      </c>
      <c r="AC14" s="1198">
        <f t="shared" si="2"/>
        <v>797</v>
      </c>
      <c r="AD14" s="1198">
        <f t="shared" si="2"/>
        <v>0</v>
      </c>
      <c r="AE14" s="1198">
        <f t="shared" si="2"/>
        <v>0</v>
      </c>
      <c r="AF14" s="1198">
        <f t="shared" si="2"/>
        <v>136</v>
      </c>
      <c r="AG14" s="1198">
        <f t="shared" si="2"/>
        <v>0</v>
      </c>
      <c r="AH14" s="1198">
        <f t="shared" si="2"/>
        <v>91</v>
      </c>
      <c r="AI14" s="1198">
        <f t="shared" si="2"/>
        <v>0</v>
      </c>
      <c r="AJ14" s="1198">
        <f t="shared" si="2"/>
        <v>0</v>
      </c>
      <c r="AK14" s="1198">
        <f t="shared" si="2"/>
        <v>0</v>
      </c>
      <c r="AL14" s="1198">
        <f t="shared" si="2"/>
        <v>0</v>
      </c>
      <c r="AM14" s="1198">
        <f t="shared" si="2"/>
        <v>6928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676</v>
      </c>
      <c r="BD14" s="1198">
        <f t="shared" si="2"/>
        <v>838</v>
      </c>
      <c r="BE14" s="1198">
        <f t="shared" si="2"/>
        <v>0</v>
      </c>
      <c r="BF14" s="1198">
        <f t="shared" si="2"/>
        <v>0</v>
      </c>
      <c r="BG14" s="1198">
        <f>IF(ISNUMBER(Datos!K14/Datos!J14),Datos!K14/Datos!J14," - ")</f>
        <v>0.9361147327249022</v>
      </c>
      <c r="BH14" s="1202">
        <f>IF(ISNUMBER(((Datos!L14/Datos!K14)*11)/factor_trimestre),((Datos!L14/Datos!K14)*11)/factor_trimestre," - ")</f>
        <v>5.0640668523676888</v>
      </c>
      <c r="BI14" s="1198">
        <f>IF(ISNUMBER('Resol  Asuntos'!D14/NºAsuntos!G14),'Resol  Asuntos'!D14/NºAsuntos!G14," - ")</f>
        <v>0.28631935620499788</v>
      </c>
      <c r="BJ14" s="1198" t="str">
        <f>IF(ISNUMBER(Datos!CI14/Datos!CJ14),Datos!CI14/Datos!CJ14," - ")</f>
        <v xml:space="preserve"> - </v>
      </c>
      <c r="BK14" s="1198">
        <f>SUBTOTAL(9,BK8:BK13)</f>
        <v>0</v>
      </c>
      <c r="BL14" s="1198">
        <f>IF(ISNUMBER((I14-AB14+L14)/(F14)),(I14-AB14+L14)/(F14)," - ")</f>
        <v>-0.29921259842519687</v>
      </c>
      <c r="BM14" s="1203">
        <f>SUBTOTAL(9,BM9:BM13)</f>
        <v>4.1309415965875375E-2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507</v>
      </c>
      <c r="C16" s="749" t="str">
        <f>Datos!A16</f>
        <v xml:space="preserve">Jdos. Instrucción                               </v>
      </c>
      <c r="D16" s="750"/>
      <c r="E16" s="1555">
        <f>IF(ISNUMBER(Datos!AQ16),Datos!AQ16," - ")</f>
        <v>3</v>
      </c>
      <c r="F16" s="740">
        <f>IF(ISNUMBER(AF16+AB16-Datos!J16-L16),AF16+AB16-Datos!J16-L16," - ")</f>
        <v>1722</v>
      </c>
      <c r="G16" s="743">
        <f>IF(ISNUMBER(IF(D_I="SI",Datos!I16,Datos!I16+Datos!AC16)),IF(D_I="SI",Datos!I16,Datos!I16+Datos!AC16)," - ")</f>
        <v>1711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1621</v>
      </c>
      <c r="AC16" s="240">
        <f>IF(ISNUMBER(Datos!Q16),Datos!Q16," - ")</f>
        <v>110</v>
      </c>
      <c r="AD16" s="374"/>
      <c r="AE16" s="562"/>
      <c r="AF16" s="741">
        <f>IF(ISNUMBER(IF(D_I="SI",Datos!L16,Datos!L16+Datos!AF16)),IF(D_I="SI",Datos!L16,Datos!L16+Datos!AF16)," - ")</f>
        <v>1752</v>
      </c>
      <c r="AG16" s="374"/>
      <c r="AH16" s="374"/>
      <c r="AI16" s="374"/>
      <c r="AJ16" s="549"/>
      <c r="AK16" s="374"/>
      <c r="AL16" s="545"/>
      <c r="AM16" s="375">
        <f>IF(ISNUMBER(Datos!R16),Datos!R16," - ")</f>
        <v>278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296</v>
      </c>
      <c r="BD16" s="243">
        <f>IF(ISNUMBER(Datos!N16),Datos!N16," - ")</f>
        <v>833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0.98182919442761962</v>
      </c>
      <c r="BH16" s="764">
        <f>IF(ISNUMBER(((IF(D_I="SI",Datos!L16/Datos!K16,(Datos!L16+Datos!AF16)/(Datos!K16+Datos!AE16)))*11)/factor_trimestre),((IF(D_I="SI",Datos!L16/Datos!K16,(Datos!L16+Datos!AF16)/(Datos!K16+Datos!AE16)))*11)/factor_trimestre," - ")</f>
        <v>3.2424429364589766</v>
      </c>
      <c r="BI16" s="266">
        <f>IF(ISNUMBER('Resol  Asuntos'!D16/NºAsuntos!G16),'Resol  Asuntos'!D16/NºAsuntos!G16," - ")</f>
        <v>0.18260333127698952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240</v>
      </c>
      <c r="AC18" s="547">
        <f>IF(ISNUMBER(Datos!Q18),Datos!Q18," - ")</f>
        <v>1</v>
      </c>
      <c r="AD18" s="549"/>
      <c r="AE18" s="562"/>
      <c r="AF18" s="551">
        <f>IF(ISNUMBER(Datos!L18),Datos!L18,"-")</f>
        <v>231</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44</v>
      </c>
      <c r="BD18" s="693">
        <f>IF(ISNUMBER(Datos!N18),Datos!N18," - ")</f>
        <v>127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1.0572687224669604</v>
      </c>
      <c r="BH18" s="764">
        <f>IF(ISNUMBER(((IF(D_I="SI",Datos!L18/Datos!K18,(Datos!L18+Datos!AF18)/(Datos!K18+Datos!AE18)))*11)/factor_trimestre),((IF(D_I="SI",Datos!L18/Datos!K18,(Datos!L18+Datos!AF18)/(Datos!K18+Datos!AE18)))*11)/factor_trimestre," - ")</f>
        <v>2.8875000000000002</v>
      </c>
      <c r="BI18" s="763">
        <f>IF(ISNUMBER('Resol  Asuntos'!D18/NºAsuntos!G18),'Resol  Asuntos'!D18/NºAsuntos!G18," - ")</f>
        <v>0.18333333333333332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f>IF(ISNUMBER(Datos!L20+Datos!K20-Datos!J20-L20),Datos!L20+Datos!K20-Datos!J20-L20," - ")</f>
        <v>258</v>
      </c>
      <c r="G20" s="743">
        <f>IF(ISNUMBER(Datos!I20),Datos!I20," - ")</f>
        <v>258</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f>IF(ISNUMBER(Datos!K20),Datos!K20," - ")</f>
        <v>226</v>
      </c>
      <c r="AC20" s="547" t="str">
        <f>IF(ISNUMBER(Datos!Q20),Datos!Q20," - ")</f>
        <v xml:space="preserve"> - </v>
      </c>
      <c r="AD20" s="374"/>
      <c r="AE20" s="562"/>
      <c r="AF20" s="741">
        <f>IF(ISNUMBER(Datos!L20),Datos!L20,"-")</f>
        <v>324</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f>IF(ISNUMBER(Datos!N20),Datos!N20," - ")</f>
        <v>201</v>
      </c>
      <c r="BE20" s="243"/>
      <c r="BF20" s="242" t="str">
        <f>IF(ISNUMBER(Datos!BX20),Datos!BX20," - ")</f>
        <v xml:space="preserve"> - </v>
      </c>
      <c r="BG20" s="763">
        <f>IF(ISNUMBER(Datos!K20/Datos!J20),Datos!K20/Datos!J20," - ")</f>
        <v>0.77397260273972601</v>
      </c>
      <c r="BH20" s="764">
        <f>IF(ISNUMBER(((Datos!L20/Datos!K20)*11)/factor_trimestre),((Datos!L20/Datos!K20)*11)/factor_trimestre," - ")</f>
        <v>4.3008849557522124</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1980</v>
      </c>
      <c r="G23" s="1197">
        <f>SUBTOTAL(9,G16:G22)</f>
        <v>2213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2087</v>
      </c>
      <c r="AC23" s="1198">
        <f t="shared" si="5"/>
        <v>111</v>
      </c>
      <c r="AD23" s="1198">
        <f t="shared" si="5"/>
        <v>0</v>
      </c>
      <c r="AE23" s="1198">
        <f t="shared" si="5"/>
        <v>0</v>
      </c>
      <c r="AF23" s="1198">
        <f t="shared" si="5"/>
        <v>2307</v>
      </c>
      <c r="AG23" s="1198">
        <f t="shared" si="5"/>
        <v>0</v>
      </c>
      <c r="AH23" s="1198">
        <f t="shared" si="5"/>
        <v>0</v>
      </c>
      <c r="AI23" s="1198">
        <f t="shared" si="5"/>
        <v>0</v>
      </c>
      <c r="AJ23" s="1198">
        <f t="shared" si="5"/>
        <v>0</v>
      </c>
      <c r="AK23" s="1198">
        <f t="shared" si="5"/>
        <v>0</v>
      </c>
      <c r="AL23" s="1198">
        <f t="shared" si="5"/>
        <v>0</v>
      </c>
      <c r="AM23" s="1198">
        <f t="shared" si="5"/>
        <v>286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340</v>
      </c>
      <c r="BD23" s="1198">
        <f t="shared" si="5"/>
        <v>1161</v>
      </c>
      <c r="BE23" s="1198">
        <f t="shared" si="5"/>
        <v>0</v>
      </c>
      <c r="BF23" s="1198">
        <f t="shared" si="5"/>
        <v>0</v>
      </c>
      <c r="BG23" s="1198">
        <f>IF(ISNUMBER(Datos!K23/Datos!J23),Datos!K23/Datos!J23," - ")</f>
        <v>0.96175115207373274</v>
      </c>
      <c r="BH23" s="1202">
        <f>IF(ISNUMBER(((Datos!L23/Datos!K23)*11)/factor_trimestre),((Datos!L23/Datos!K23)*11)/factor_trimestre," - ")</f>
        <v>3.3162434115955914</v>
      </c>
      <c r="BI23" s="1198">
        <f>SUBTOTAL(9,BI16:BI22)</f>
        <v>0.36593666461032281</v>
      </c>
      <c r="BJ23" s="1198">
        <f>SUBTOTAL(9,BJ16:BJ22)</f>
        <v>0</v>
      </c>
      <c r="BK23" s="1198">
        <f>SUBTOTAL(9,BK16:BK22)</f>
        <v>0</v>
      </c>
      <c r="BL23" s="1198">
        <f>IF(ISNUMBER((I23-AB23+L23)/(F23)),(I23-AB23+L23)/(F23)," - ")</f>
        <v>-1.0540404040404041</v>
      </c>
      <c r="BM23" s="1205">
        <f>IF(ISNUMBER((Datos!P23-Datos!Q23)/(Datos!R23-Datos!P23+Datos!Q23)),(Datos!P23-Datos!Q23)/(Datos!R23-Datos!P23+Datos!Q23)," - ")</f>
        <v>0.04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2107</v>
      </c>
      <c r="G31" s="1117">
        <f t="shared" si="18"/>
        <v>2340</v>
      </c>
      <c r="H31" s="1119">
        <f t="shared" si="18"/>
        <v>0</v>
      </c>
      <c r="I31" s="1117">
        <f t="shared" si="18"/>
        <v>0</v>
      </c>
      <c r="J31" s="1119">
        <f t="shared" si="18"/>
        <v>0</v>
      </c>
      <c r="K31" s="1119">
        <f t="shared" si="18"/>
        <v>0</v>
      </c>
      <c r="L31" s="1180">
        <f t="shared" si="18"/>
        <v>0</v>
      </c>
      <c r="M31" s="1180">
        <f t="shared" si="18"/>
        <v>0</v>
      </c>
      <c r="N31" s="1180">
        <f t="shared" si="18"/>
        <v>196</v>
      </c>
      <c r="O31" s="1180">
        <f t="shared" si="18"/>
        <v>0</v>
      </c>
      <c r="P31" s="1180">
        <f t="shared" si="18"/>
        <v>0</v>
      </c>
      <c r="Q31" s="1119">
        <f t="shared" si="18"/>
        <v>796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2125</v>
      </c>
      <c r="AC31" s="1118">
        <f t="shared" si="19"/>
        <v>908</v>
      </c>
      <c r="AD31" s="1118">
        <f t="shared" si="19"/>
        <v>0</v>
      </c>
      <c r="AE31" s="1118">
        <f t="shared" si="19"/>
        <v>0</v>
      </c>
      <c r="AF31" s="1125">
        <f t="shared" si="19"/>
        <v>2443</v>
      </c>
      <c r="AG31" s="1125">
        <f t="shared" si="19"/>
        <v>0</v>
      </c>
      <c r="AH31" s="1125">
        <f t="shared" si="19"/>
        <v>91</v>
      </c>
      <c r="AI31" s="1125">
        <f t="shared" si="19"/>
        <v>0</v>
      </c>
      <c r="AJ31" s="1118">
        <f t="shared" si="19"/>
        <v>0</v>
      </c>
      <c r="AK31" s="1125">
        <f t="shared" si="19"/>
        <v>0</v>
      </c>
      <c r="AL31" s="1125">
        <f t="shared" si="19"/>
        <v>0</v>
      </c>
      <c r="AM31" s="1125">
        <f t="shared" si="19"/>
        <v>7214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1016</v>
      </c>
      <c r="BD31" s="1117">
        <f t="shared" si="19"/>
        <v>1999</v>
      </c>
      <c r="BE31" s="1117">
        <f t="shared" si="19"/>
        <v>0</v>
      </c>
      <c r="BF31" s="1127">
        <f t="shared" si="19"/>
        <v>0</v>
      </c>
      <c r="BG31" s="1223">
        <f>IF(ISNUMBER(Datos!K31/Datos!J31),Datos!K31/Datos!J31," - ")</f>
        <v>0.94855736971594717</v>
      </c>
      <c r="BH31" s="1223">
        <f>IF(ISNUMBER(((Datos!L31/Datos!K31)*11)/factor_trimestre),((Datos!L31/Datos!K31)*11)/factor_trimestre," - ")</f>
        <v>4.20396132987503</v>
      </c>
      <c r="BI31" s="1103">
        <f>IF(ISNUMBER(Datos!J31/Datos!I31),Datos!J31/Datos!I31," - ")</f>
        <v>0.78951085996821468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-1.0085429520645468</v>
      </c>
      <c r="BM31" s="1188">
        <f>IF(ISNUMBER((Datos!P31-Datos!Q31+R31)/(Datos!R31-Datos!P31+Datos!Q31-R31)),(Datos!P31-Datos!Q31+R31)/(Datos!R31-Datos!P31+Datos!Q31-R31)," - ")</f>
        <v>-1.5288015288015287E-2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2.3295709014312749</v>
      </c>
      <c r="F33" s="673">
        <f>IF(ISNUMBER(STDEV(F8:F30)),STDEV(F8:F30),"-")</f>
        <v>860.9759965682357</v>
      </c>
      <c r="G33" s="674">
        <f>IF(ISNUMBER(STDEV(G8:G30)),STDEV(G8:G30),"-")</f>
        <v>865.64987973528559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831.26078940366244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245.48220121041589</v>
      </c>
      <c r="BD33" s="673"/>
      <c r="BE33" s="673">
        <f>IF(ISNUMBER(STDEV(BE8:BE30)),STDEV(BE8:BE30),"-")</f>
        <v>0</v>
      </c>
      <c r="BF33" s="678">
        <f>IF(ISNUMBER(STDEV(BF8:BF30)),STDEV(BF8:BF30),"-")</f>
        <v>0</v>
      </c>
      <c r="BG33" s="1052">
        <f>IF(ISNUMBER(STDEV(BG8:BG30)),STDEV(BG8:BG30),"-")</f>
        <v>9.3267814210425057E-2</v>
      </c>
      <c r="BH33" s="1058">
        <f>IF(ISNUMBER(STDEV(BH8:BH30)),STDEV(BH8:BH30),"-")</f>
        <v>2.5405619085112425</v>
      </c>
      <c r="BI33" s="273">
        <f>IF(ISNUMBER(STDEV(BI8:BI30)),STDEV(BI8:BI30),"-")</f>
        <v>8.8815197244553029E-2</v>
      </c>
      <c r="BJ33" s="244" t="str">
        <f>IF(ISNUMBER(BL33/BM33),BL33/BM33," - ")</f>
        <v xml:space="preserve"> - </v>
      </c>
      <c r="BK33" s="709"/>
      <c r="BL33" s="681">
        <f>IF(ISNUMBER(STDEV(BL8:BL30)),STDEV(BL8:BL30),"-")</f>
        <v>0.53374385997867391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Rx7ing+LJqpPh8sycJxIoHtAcS1HVPwhduKeqWhl2Tm5uj5gThPNtHy5WflVt2V9KIDC5bIG/e4+QgNP1YS3Q==" saltValue="dkf7qfmChRlaL3zRLhBs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LA RIOJA</v>
      </c>
    </row>
    <row r="2" spans="1:73" ht="16.5" customHeight="1">
      <c r="C2" s="647" t="str">
        <f>Criterios!A10 &amp;"  "&amp;Criterios!B10 &amp; "  " &amp; IF(NOT(ISBLANK(Criterios!A11)),Criterios!A11 &amp;"  "&amp;Criterios!B11,"")</f>
        <v>Provincias  LA RIOJA  Resumenes por Partidos Judiciales  LOGROÑO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1 al 1</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623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771</v>
      </c>
      <c r="AA9" s="551" t="str">
        <f>IF(ISNUMBER(IF(J_V="SI",Datos!L9,Datos!L9+Datos!AB9)-IF(Monitorios="SI",Datos!CD9,0)),
                          IF(J_V="SI",Datos!L9,Datos!L9+Datos!AB9)-IF(Monitorios="SI",Datos!CD9,0),
                          " - ")</f>
        <v xml:space="preserve"> - </v>
      </c>
      <c r="AB9" s="549"/>
      <c r="AC9" s="549"/>
      <c r="AD9" s="563"/>
      <c r="AE9" s="563">
        <f>IF(ISNUMBER(Datos!R9),Datos!R9," - ")</f>
        <v>6213</v>
      </c>
      <c r="AF9" s="693" t="str">
        <f>IF(ISNUMBER(Datos!BV9),Datos!BV9," - ")</f>
        <v xml:space="preserve"> - </v>
      </c>
      <c r="AG9" s="552" t="str">
        <f>IF(ISNUMBER(Datos!DV9),Datos!DV9," - ")</f>
        <v xml:space="preserve"> - </v>
      </c>
      <c r="AH9" s="553"/>
      <c r="AI9" s="554"/>
      <c r="AJ9" s="552">
        <f>IF(ISNUMBER(Datos!M9),Datos!M9," - ")</f>
        <v>526</v>
      </c>
      <c r="AK9" s="693">
        <f>IF(ISNUMBER(Datos!N9),Datos!N9," - ")</f>
        <v>647</v>
      </c>
      <c r="AL9" s="693" t="str">
        <f>IF(ISNUMBER(Datos!BW9),Datos!BW9," - ")</f>
        <v xml:space="preserve"> - </v>
      </c>
      <c r="AM9" s="762" t="str">
        <f>IF(ISNUMBER(Datos!BX9),Datos!BX9," - ")</f>
        <v xml:space="preserve"> - </v>
      </c>
      <c r="AN9" s="763"/>
      <c r="AO9" s="764">
        <f>IF(ISNUMBER(((NºAsuntos!I9/NºAsuntos!G9)*11)/factor_trimestre),((NºAsuntos!I9/NºAsuntos!G9)*11)/factor_trimestre," - ")</f>
        <v>4.3887195121951228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-2.3266781952523189E-2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127</v>
      </c>
      <c r="G10" s="552">
        <f>IF(ISNUMBER(Datos!I10),Datos!I10," - ")</f>
        <v>127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38</v>
      </c>
      <c r="Z10" s="805">
        <f>IF(ISNUMBER(Datos!Q10),Datos!Q10," - ")</f>
        <v>6</v>
      </c>
      <c r="AA10" s="551">
        <f>IF(ISNUMBER(Datos!L10),Datos!L10,"-")</f>
        <v>136</v>
      </c>
      <c r="AB10" s="549"/>
      <c r="AC10" s="549"/>
      <c r="AD10" s="563"/>
      <c r="AE10" s="563">
        <f>IF(ISNUMBER(Datos!R10),Datos!R10," - ")</f>
        <v>144</v>
      </c>
      <c r="AF10" s="693" t="str">
        <f>IF(ISNUMBER(Datos!BV10),Datos!BV10," - ")</f>
        <v xml:space="preserve"> - </v>
      </c>
      <c r="AG10" s="552" t="str">
        <f>IF(ISNUMBER(Datos!DV10),Datos!DV10," - ")</f>
        <v xml:space="preserve"> - </v>
      </c>
      <c r="AH10" s="553"/>
      <c r="AI10" s="554"/>
      <c r="AJ10" s="552">
        <f>IF(ISNUMBER(Datos!M10),Datos!M10," - ")</f>
        <v>24</v>
      </c>
      <c r="AK10" s="693">
        <f>IF(ISNUMBER(Datos!N10),Datos!N10," - ")</f>
        <v>16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10.736842105263159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5.8823529411764705E-2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18</v>
      </c>
      <c r="AA11" s="551" t="str">
        <f>IF(ISNUMBER(IF(J_V="SI",Datos!L11,Datos!L11+Datos!AB11)-IF(Monitorios="SI",Datos!CD11,0)),
                          IF(J_V="SI",Datos!L11,Datos!L11+Datos!AB11)-IF(Monitorios="SI",Datos!CD11,0),
                          " - ")</f>
        <v xml:space="preserve"> - </v>
      </c>
      <c r="AB11" s="549"/>
      <c r="AC11" s="549"/>
      <c r="AD11" s="563"/>
      <c r="AE11" s="563">
        <f>IF(ISNUMBER(Datos!R11),Datos!R11," - ")</f>
        <v>512</v>
      </c>
      <c r="AF11" s="693" t="str">
        <f>IF(ISNUMBER(Datos!BV11),Datos!BV11," - ")</f>
        <v xml:space="preserve"> - </v>
      </c>
      <c r="AG11" s="552" t="str">
        <f>IF(ISNUMBER(Datos!DV11),Datos!DV11," - ")</f>
        <v xml:space="preserve"> - </v>
      </c>
      <c r="AH11" s="553"/>
      <c r="AI11" s="554"/>
      <c r="AJ11" s="552">
        <f>IF(ISNUMBER(Datos!M11),Datos!M11," - ")</f>
        <v>126</v>
      </c>
      <c r="AK11" s="693">
        <f>IF(ISNUMBER(Datos!N11),Datos!N11," - ")</f>
        <v>175</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6.0084507042253525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3.8539553752535496E-2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v>
      </c>
      <c r="AA12" s="551" t="str">
        <f>IF(ISNUMBER(IF(J_V="SI",Datos!L12,Datos!L12+Datos!AB12)-IF(Monitorios="SI",Datos!CD12,0)),
                          IF(J_V="SI",Datos!L12,Datos!L12+Datos!AB12)-IF(Monitorios="SI",Datos!CD12,0),
                          " - ")</f>
        <v xml:space="preserve"> - </v>
      </c>
      <c r="AB12" s="549"/>
      <c r="AC12" s="549"/>
      <c r="AD12" s="563"/>
      <c r="AE12" s="563">
        <f>IF(ISNUMBER(Datos!R12),Datos!R12," - ")</f>
        <v>59</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-3.2786885245901641E-2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127</v>
      </c>
      <c r="G14" s="1197">
        <f>SUBTOTAL(9,G8:G13)</f>
        <v>127</v>
      </c>
      <c r="H14" s="1211"/>
      <c r="I14" s="1197">
        <f t="shared" ref="I14:N14" si="1">SUBTOTAL(9,I8:I13)</f>
        <v>0</v>
      </c>
      <c r="J14" s="1164">
        <f t="shared" si="1"/>
        <v>0</v>
      </c>
      <c r="K14" s="1211">
        <f t="shared" si="1"/>
        <v>0</v>
      </c>
      <c r="L14" s="1211">
        <f t="shared" si="1"/>
        <v>0</v>
      </c>
      <c r="M14" s="1211">
        <f t="shared" si="1"/>
        <v>0</v>
      </c>
      <c r="N14" s="1211">
        <f t="shared" si="1"/>
        <v>674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38</v>
      </c>
      <c r="Z14" s="1210">
        <f t="shared" si="3"/>
        <v>797</v>
      </c>
      <c r="AA14" s="1199">
        <f t="shared" si="3"/>
        <v>136</v>
      </c>
      <c r="AB14" s="1199">
        <f t="shared" si="3"/>
        <v>0</v>
      </c>
      <c r="AC14" s="1199">
        <f t="shared" si="3"/>
        <v>0</v>
      </c>
      <c r="AD14" s="1199">
        <f t="shared" si="3"/>
        <v>0</v>
      </c>
      <c r="AE14" s="1199">
        <f t="shared" si="3"/>
        <v>6928</v>
      </c>
      <c r="AF14" s="1211">
        <f t="shared" si="3"/>
        <v>0</v>
      </c>
      <c r="AG14" s="1211">
        <f t="shared" si="3"/>
        <v>0</v>
      </c>
      <c r="AH14" s="1211">
        <f t="shared" si="3"/>
        <v>0</v>
      </c>
      <c r="AI14" s="1211">
        <f t="shared" si="3"/>
        <v>0</v>
      </c>
      <c r="AJ14" s="1211">
        <f t="shared" si="3"/>
        <v>676</v>
      </c>
      <c r="AK14" s="1211">
        <f t="shared" si="3"/>
        <v>838</v>
      </c>
      <c r="AL14" s="1211">
        <f t="shared" si="3"/>
        <v>0</v>
      </c>
      <c r="AM14" s="1211">
        <f t="shared" si="3"/>
        <v>0</v>
      </c>
      <c r="AN14" s="1211">
        <f t="shared" si="3"/>
        <v>0</v>
      </c>
      <c r="AO14" s="1203">
        <f>IF(ISNUMBER(((NºAsuntos!I14/NºAsuntos!G14)*11)/factor_trimestre),((NºAsuntos!I14/NºAsuntos!G14)*11)/factor_trimestre," - ")</f>
        <v>4.7357052096569259</v>
      </c>
      <c r="AP14" s="1213" t="str">
        <f>IF(ISNUMBER(Datos!CI14/Datos!CJ14),Datos!CI14/Datos!CJ14," - ")</f>
        <v xml:space="preserve"> - </v>
      </c>
      <c r="AQ14" s="1236">
        <f t="shared" ref="AQ14:AV14" si="4">SUBTOTAL(9,AQ9:AQ13)</f>
        <v>0</v>
      </c>
      <c r="AR14" s="1236">
        <f t="shared" si="4"/>
        <v>4.1309415965875375E-2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507</v>
      </c>
      <c r="C16" s="765" t="str">
        <f>Datos!A16</f>
        <v xml:space="preserve">Jdos. Instrucción                               </v>
      </c>
      <c r="D16" s="593"/>
      <c r="E16" s="1558">
        <f>IF(ISNUMBER(Datos!AQ16),Datos!AQ16," - ")</f>
        <v>3</v>
      </c>
      <c r="F16" s="543">
        <f>IF(ISNUMBER(AA16+Y16-Datos!J16-K16),AA16+Y16-Datos!J16-K16," - ")</f>
        <v>1722</v>
      </c>
      <c r="G16" s="552">
        <f>IF(ISNUMBER(IF(D_I="SI",Datos!I16,Datos!I16+Datos!AC16)),IF(D_I="SI",Datos!I16,Datos!I16+Datos!AC16)," - ")</f>
        <v>1711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1621</v>
      </c>
      <c r="Z16" s="805">
        <f>IF(ISNUMBER(Datos!Q16),Datos!Q16," - ")</f>
        <v>110</v>
      </c>
      <c r="AA16" s="551">
        <f>IF(ISNUMBER(IF(D_I="SI",Datos!L16,Datos!L16+Datos!AF16)),IF(D_I="SI",Datos!L16,Datos!L16+Datos!AF16)," - ")</f>
        <v>1752</v>
      </c>
      <c r="AB16" s="549"/>
      <c r="AC16" s="549"/>
      <c r="AD16" s="563"/>
      <c r="AE16" s="563">
        <f>IF(ISNUMBER(Datos!R16),Datos!R16," - ")</f>
        <v>278</v>
      </c>
      <c r="AF16" s="693" t="str">
        <f>IF(ISNUMBER(Datos!BV16),Datos!BV16," - ")</f>
        <v xml:space="preserve"> - </v>
      </c>
      <c r="AG16" s="552"/>
      <c r="AH16" s="553"/>
      <c r="AI16" s="554"/>
      <c r="AJ16" s="552">
        <f>IF(ISNUMBER(Datos!M16),Datos!M16," - ")</f>
        <v>296</v>
      </c>
      <c r="AK16" s="693">
        <f>IF(ISNUMBER(Datos!N16),Datos!N16," - ")</f>
        <v>833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3.2424429364589766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240</v>
      </c>
      <c r="Z18" s="805">
        <f>IF(ISNUMBER(Datos!Q18),Datos!Q18," - ")</f>
        <v>1</v>
      </c>
      <c r="AA18" s="551">
        <f>IF(ISNUMBER(Datos!L18),Datos!L18,"-")</f>
        <v>231</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44</v>
      </c>
      <c r="AK18" s="693">
        <f>IF(ISNUMBER(Datos!N18),Datos!N18," - ")</f>
        <v>127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2.8875000000000002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1722</v>
      </c>
      <c r="G23" s="1197">
        <f>SUBTOTAL(9,G16:G22)</f>
        <v>1955</v>
      </c>
      <c r="H23" s="1240">
        <f>SUBTOTAL(9,H16:H22)</f>
        <v>0</v>
      </c>
      <c r="I23" s="1217">
        <f>SUBTOTAL(9,I16:I22)</f>
        <v>0</v>
      </c>
      <c r="J23" s="1164">
        <f>SUBTOTAL(9,J15:J22)</f>
        <v>0</v>
      </c>
      <c r="K23" s="1240">
        <f t="shared" ref="K23:S23" si="5">SUBTOTAL(9,K16:K22)</f>
        <v>0</v>
      </c>
      <c r="L23" s="1240">
        <f t="shared" si="5"/>
        <v>0</v>
      </c>
      <c r="M23" s="1240">
        <f t="shared" si="5"/>
        <v>0</v>
      </c>
      <c r="N23" s="1240">
        <f t="shared" si="5"/>
        <v>122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1861</v>
      </c>
      <c r="Z23" s="1240">
        <f t="shared" si="6"/>
        <v>111</v>
      </c>
      <c r="AA23" s="1240">
        <f t="shared" si="6"/>
        <v>1983</v>
      </c>
      <c r="AB23" s="1240">
        <f t="shared" si="6"/>
        <v>0</v>
      </c>
      <c r="AC23" s="1240">
        <f t="shared" si="6"/>
        <v>0</v>
      </c>
      <c r="AD23" s="1240">
        <f t="shared" si="6"/>
        <v>0</v>
      </c>
      <c r="AE23" s="1240">
        <f t="shared" si="6"/>
        <v>286</v>
      </c>
      <c r="AF23" s="1240">
        <f t="shared" si="6"/>
        <v>0</v>
      </c>
      <c r="AG23" s="1240">
        <f t="shared" si="6"/>
        <v>0</v>
      </c>
      <c r="AH23" s="1240">
        <f t="shared" si="6"/>
        <v>0</v>
      </c>
      <c r="AI23" s="1240">
        <f t="shared" si="6"/>
        <v>0</v>
      </c>
      <c r="AJ23" s="1240">
        <f t="shared" si="6"/>
        <v>340</v>
      </c>
      <c r="AK23" s="1240">
        <f t="shared" si="6"/>
        <v>960</v>
      </c>
      <c r="AL23" s="1240">
        <f t="shared" si="6"/>
        <v>0</v>
      </c>
      <c r="AM23" s="1240">
        <f t="shared" si="6"/>
        <v>0</v>
      </c>
      <c r="AN23" s="1240">
        <f t="shared" si="6"/>
        <v>0</v>
      </c>
      <c r="AO23" s="1242">
        <f>IF(ISNUMBER(((NºAsuntos!I23/NºAsuntos!G23)*11)/factor_trimestre),((NºAsuntos!I23/NºAsuntos!G23)*11)/factor_trimestre," - ")</f>
        <v>3.3162434115955914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1849</v>
      </c>
      <c r="G31" s="1117">
        <f t="shared" si="12"/>
        <v>2082</v>
      </c>
      <c r="H31" s="1118">
        <f t="shared" si="12"/>
        <v>0</v>
      </c>
      <c r="I31" s="1117">
        <f t="shared" si="12"/>
        <v>0</v>
      </c>
      <c r="J31" s="1119">
        <f t="shared" si="12"/>
        <v>0</v>
      </c>
      <c r="K31" s="1117">
        <f t="shared" si="12"/>
        <v>0</v>
      </c>
      <c r="L31" s="1120">
        <f t="shared" si="12"/>
        <v>0</v>
      </c>
      <c r="M31" s="1117">
        <f t="shared" si="12"/>
        <v>0</v>
      </c>
      <c r="N31" s="1118">
        <f t="shared" si="12"/>
        <v>796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1899</v>
      </c>
      <c r="Z31" s="1124">
        <f t="shared" si="13"/>
        <v>908</v>
      </c>
      <c r="AA31" s="1125">
        <f t="shared" si="13"/>
        <v>2119</v>
      </c>
      <c r="AB31" s="1125">
        <f t="shared" si="13"/>
        <v>0</v>
      </c>
      <c r="AC31" s="1125">
        <f t="shared" si="13"/>
        <v>0</v>
      </c>
      <c r="AD31" s="1126">
        <f t="shared" si="13"/>
        <v>0</v>
      </c>
      <c r="AE31" s="1126">
        <f t="shared" si="13"/>
        <v>7214</v>
      </c>
      <c r="AF31" s="1127">
        <f t="shared" si="13"/>
        <v>0</v>
      </c>
      <c r="AG31" s="1128">
        <f t="shared" si="13"/>
        <v>0</v>
      </c>
      <c r="AH31" s="1129">
        <f t="shared" si="13"/>
        <v>0</v>
      </c>
      <c r="AI31" s="1127">
        <f t="shared" si="13"/>
        <v>0</v>
      </c>
      <c r="AJ31" s="1117">
        <f t="shared" si="13"/>
        <v>1016</v>
      </c>
      <c r="AK31" s="1117">
        <f t="shared" si="13"/>
        <v>1798</v>
      </c>
      <c r="AL31" s="1117">
        <f t="shared" si="13"/>
        <v>0</v>
      </c>
      <c r="AM31" s="1130">
        <f t="shared" si="13"/>
        <v>0</v>
      </c>
      <c r="AN31" s="1120">
        <f>IF(ISNUMBER(Datos!K31/Datos!J31),Datos!K31/Datos!J31," - ")</f>
        <v>0.94855736971594717</v>
      </c>
      <c r="AO31" s="1120">
        <f>IF(ISNUMBER(FIND("06",Criterios!A8,1)),(IF(ISNUMBER(((Datos!R31/Datos!Q31)*11)/factor_trimestre),((Datos!R31/Datos!Q31)*11)/factor_trimestre," - ")),(IF(ISNUMBER(((Datos!L31/Datos!K31)*11)/factor_trimestre),((Datos!L31/Datos!K31)*11)/factor_trimestre," - ")))</f>
        <v>4.20396132987503</v>
      </c>
      <c r="AP31" s="1131" t="str">
        <f>IF(ISNUMBER(Datos!CI31/Datos!CJ31),Datos!CI31/Datos!CJ31," - ")</f>
        <v xml:space="preserve"> - </v>
      </c>
      <c r="AQ31" s="1131">
        <f>IF(OR(ISNUMBER(FIND("01",Criterios!A8,1)),ISNUMBER(FIND("02",Criterios!A8,1)),ISNUMBER(FIND("03",Criterios!A8,1)),ISNUMBER(FIND("04",Criterios!A8,1))),(J31-Y31+K31)/(F31-K31),(I31-Y31+K31)/(F31-K31))</f>
        <v>-1.0270416441319632</v>
      </c>
      <c r="AR31" s="1131">
        <f>IF(ISNUMBER((Datos!P31-Datos!Q31+O31)/(Datos!R31-Datos!P31+Datos!Q31-O31)),(Datos!P31-Datos!Q31+O31)/(Datos!R31-Datos!P31+Datos!Q31-O31)," - ")</f>
        <v>-1.5288015288015287E-2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594.85714285714289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858.32689965226336</v>
      </c>
      <c r="G33" s="674">
        <f>IF(ISNUMBER(STDEV(G8:G30)),STDEV(G8:G30),"-")</f>
        <v>852.87307155899589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245.48220121041589</v>
      </c>
      <c r="AK33" s="276"/>
      <c r="AL33" s="276">
        <f>IF(ISNUMBER(STDEV(AL8:AL30)),STDEV(AL8:AL30),"-")</f>
        <v>0</v>
      </c>
      <c r="AM33" s="278">
        <f>IF(ISNUMBER(STDEV(AM8:AM30)),STDEV(AM8:AM30),"-")</f>
        <v>0</v>
      </c>
      <c r="AN33" s="660">
        <f>IF(ISNUMBER(STDEV(AN8:AN30)),STDEV(AN8:AN30),"-")</f>
        <v>0</v>
      </c>
      <c r="AO33" s="661">
        <f>IF(ISNUMBER(STDEV(AO8:AO30)),STDEV(AO8:AO30),"-")</f>
        <v>2.7308206519678588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jRQQiDhHsY8h57w9u7nzS3oBwmnDMlRjjm6poeQ1i5EBi52E9qxvAY4FRxXK5yZl/siPxNmPNDRArbO3l4Ohg==" saltValue="TmlV68ZB4KZEKkoMP7dp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Zs8/s2wqL4Nxe6BS5MHLQKTgovCovGDyZy0AqplCIDW9/5ujO6NKiGQpy5EAh5NLcYzLyrCNG44NRpykszcnKA==" saltValue="WKFh/vZfa7QGrX0wM9Lu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nHDtOHBLjd+xHKZs5oTvnBVlmKARlEqJ5HMfnOiWfWg+QBk/nS+k+ubhJh6pdygY4ITtwhgOOcLeJV5lD1tg==" saltValue="KJND1Xz4K+8+RrksgAsM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LA RIOJA</v>
      </c>
      <c r="F1" s="856"/>
    </row>
    <row r="2" spans="1:75" ht="16.5" customHeight="1">
      <c r="C2" s="567" t="str">
        <f>Criterios!A10 &amp;"  "&amp;Criterios!B10 &amp; "  " &amp; IF(NOT(ISBLANK(Criterios!A11)),Criterios!A11 &amp;"  "&amp;Criterios!B11,"")</f>
        <v>Provincias  LA RIOJA  Resumenes por Partidos Judiciales  LOGROÑO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1 al 1</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0.28631935620499788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0.20245835835752057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UyuvG6ejxy9UHT4cBJdc+Fy08k7F0Rbvwj3L1qkYBIN73+p8/5QVah43WaZVFaTrbLDtAnSzkTyuzIWjleQ+g==" saltValue="G+Lccf4pkuYyVUFsbf7D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ug29f3EK50lH/L44D5yWQPTnw62fx44x6hPgdEGZ/+mZXAu6sqZEiqoMkr1XOVY6xSwccnX5hfcjKZII5rgyAg==" saltValue="X8MKMvwAa2KjUUxWsncD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LA RIOJA</v>
      </c>
      <c r="C2" s="436"/>
      <c r="D2" s="436"/>
      <c r="E2" s="436"/>
      <c r="F2" s="436"/>
    </row>
    <row r="3" spans="1:14" ht="19.5">
      <c r="A3" s="438" t="s">
        <v>159</v>
      </c>
      <c r="B3" s="439" t="str">
        <f>Criterios!A10 &amp;"  "&amp;Criterios!B10</f>
        <v>Provincias  LA RIOJA</v>
      </c>
      <c r="D3" s="436"/>
      <c r="E3" s="436"/>
      <c r="F3" s="436"/>
    </row>
    <row r="4" spans="1:14" ht="13.5" thickBot="1">
      <c r="A4" s="436"/>
      <c r="B4" s="439" t="str">
        <f>Criterios!A11 &amp;"  "&amp;Criterios!B11</f>
        <v>Resumenes por Partidos Judiciales  LOGROÑO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2796</v>
      </c>
      <c r="D9" s="452">
        <f>IF(ISNUMBER(C9/Datos!BH9),C9/Datos!BH9," - ")</f>
        <v>466</v>
      </c>
      <c r="E9" s="451">
        <f>IF(ISNUMBER(IF(J_V="SI",Datos!J9,Datos!J9+Datos!Z9)),IF(J_V="SI",Datos!J9,Datos!J9+Datos!Z9)," - ")</f>
        <v>2051</v>
      </c>
      <c r="F9" s="452">
        <f>IF(ISNUMBER(E9/B9),E9/B9," - ")</f>
        <v>341.83333333333331</v>
      </c>
      <c r="G9" s="451">
        <f>IF(ISNUMBER(IF(J_V="SI",Datos!K9,Datos!K9+Datos!AA9)),IF(J_V="SI",Datos!K9,Datos!K9+Datos!AA9)," - ")</f>
        <v>1968</v>
      </c>
      <c r="H9" s="452">
        <f>IF(ISNUMBER(G9/B9),G9/B9," - ")</f>
        <v>328</v>
      </c>
      <c r="I9" s="451">
        <f>IF(ISNUMBER(IF(J_V="SI",Datos!L9,Datos!L9+Datos!AB9)),IF(J_V="SI",Datos!L9,Datos!L9+Datos!AB9)," - ")</f>
        <v>2879</v>
      </c>
      <c r="J9" s="452">
        <f>IF(ISNUMBER(I9/B9),I9/B9," - ")</f>
        <v>479.83333333333331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127</v>
      </c>
      <c r="D10" s="452">
        <f>IF(ISNUMBER(C10/Datos!BH10),C10/Datos!BH10," - ")</f>
        <v>127</v>
      </c>
      <c r="E10" s="451">
        <f>IF(ISNUMBER(Datos!J10),Datos!J10," - ")</f>
        <v>47</v>
      </c>
      <c r="F10" s="452">
        <f>IF(ISNUMBER(E10/B10),E10/B10," - ")</f>
        <v>47</v>
      </c>
      <c r="G10" s="451">
        <f>IF(ISNUMBER(Datos!K10),Datos!K10," - ")</f>
        <v>38</v>
      </c>
      <c r="H10" s="452">
        <f>IF(ISNUMBER(G10/B10),G10/B10," - ")</f>
        <v>38</v>
      </c>
      <c r="I10" s="451">
        <f>IF(ISNUMBER(Datos!L10),Datos!L10," - ")</f>
        <v>136</v>
      </c>
      <c r="J10" s="452">
        <f>IF(ISNUMBER(I10/B10),I10/B10," - ")</f>
        <v>136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715</v>
      </c>
      <c r="D11" s="452">
        <f>IF(ISNUMBER(C11/Datos!BH11),C11/Datos!BH11," - ")</f>
        <v>715</v>
      </c>
      <c r="E11" s="451">
        <f>IF(ISNUMBER(IF(J_V="SI",Datos!J11,Datos!J11+Datos!Z11)),IF(J_V="SI",Datos!J11,Datos!J11+Datos!Z11)," - ")</f>
        <v>399</v>
      </c>
      <c r="F11" s="452">
        <f>IF(ISNUMBER(E11/B11),E11/B11," - ")</f>
        <v>399</v>
      </c>
      <c r="G11" s="451">
        <f>IF(ISNUMBER(IF(J_V="SI",Datos!K11,Datos!K11+Datos!AA11)),IF(J_V="SI",Datos!K11,Datos!K11+Datos!AA11)," - ")</f>
        <v>355</v>
      </c>
      <c r="H11" s="452">
        <f>IF(ISNUMBER(G11/B11),G11/B11," - ")</f>
        <v>355</v>
      </c>
      <c r="I11" s="451">
        <f>IF(ISNUMBER(IF(J_V="SI",Datos!L11,Datos!L11+Datos!AB11)),IF(J_V="SI",Datos!L11,Datos!L11+Datos!AB11)," - ")</f>
        <v>711</v>
      </c>
      <c r="J11" s="452">
        <f>IF(ISNUMBER(I11/B11),I11/B11," - ")</f>
        <v>711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3639</v>
      </c>
      <c r="D14" s="1147" t="str">
        <f>IF(ISNUMBER(C14/Datos!BI14),C14/Datos!BI14," - ")</f>
        <v xml:space="preserve"> - </v>
      </c>
      <c r="E14" s="1146">
        <f>SUBTOTAL(9,E8:E13)</f>
        <v>2497</v>
      </c>
      <c r="F14" s="1147">
        <f>IF(ISNUMBER(E14/B14),E14/B14," - ")</f>
        <v>312.125</v>
      </c>
      <c r="G14" s="1146">
        <f>SUBTOTAL(9,G8:G13)</f>
        <v>2361</v>
      </c>
      <c r="H14" s="1147">
        <f>IF(ISNUMBER(G14/B14),G14/B14," - ")</f>
        <v>295.125</v>
      </c>
      <c r="I14" s="1146">
        <f>SUBTOTAL(9,I8:I13)</f>
        <v>3727</v>
      </c>
      <c r="J14" s="1147">
        <f>IF(ISNUMBER(I14/B14),I14/B14," - ")</f>
        <v>465.875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1711</v>
      </c>
      <c r="D16" s="452">
        <f>IF(ISNUMBER(C16/Datos!BH16),C16/Datos!BH16," - ")</f>
        <v>570.33333333333337</v>
      </c>
      <c r="E16" s="451">
        <f>IF(ISNUMBER(IF(D_I="SI",Datos!J16,Datos!J16+Datos!AD16)),IF(D_I="SI",Datos!J16,Datos!J16+Datos!AD16)," - ")</f>
        <v>1651</v>
      </c>
      <c r="F16" s="452">
        <f>IF(ISNUMBER(E16/B16),E16/B16," - ")</f>
        <v>550.33333333333337</v>
      </c>
      <c r="G16" s="451">
        <f>IF(ISNUMBER(IF(D_I="SI",Datos!K16,Datos!K16+Datos!AE16)),IF(D_I="SI",Datos!K16,Datos!K16+Datos!AE16)," - ")</f>
        <v>1621</v>
      </c>
      <c r="H16" s="452">
        <f>IF(ISNUMBER(G16/B16),G16/B16," - ")</f>
        <v>540.33333333333337</v>
      </c>
      <c r="I16" s="451">
        <f>IF(ISNUMBER(IF(D_I="SI",Datos!L16,Datos!L16+Datos!AF16)),IF(D_I="SI",Datos!L16,Datos!L16+Datos!AF16)," - ")</f>
        <v>1752</v>
      </c>
      <c r="J16" s="452">
        <f>IF(ISNUMBER(I16/B16),I16/B16," - ")</f>
        <v>584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244</v>
      </c>
      <c r="D18" s="452">
        <f>IF(ISNUMBER(C18/Datos!BH18),C18/Datos!BH18," - ")</f>
        <v>244</v>
      </c>
      <c r="E18" s="451">
        <f>IF(ISNUMBER(IF(D_I="SI",Datos!J18,Datos!J18+Datos!AD18)),IF(D_I="SI",Datos!J18,Datos!J18+Datos!AD18)," - ")</f>
        <v>227</v>
      </c>
      <c r="F18" s="452">
        <f>IF(ISNUMBER(E18/B18),E18/B18," - ")</f>
        <v>227</v>
      </c>
      <c r="G18" s="451">
        <f>IF(ISNUMBER(IF(D_I="SI",Datos!K18,Datos!K18+Datos!AE18)),IF(D_I="SI",Datos!K18,Datos!K18+Datos!AE18)," - ")</f>
        <v>240</v>
      </c>
      <c r="H18" s="452">
        <f>IF(ISNUMBER(G18/B18),G18/B18," - ")</f>
        <v>240</v>
      </c>
      <c r="I18" s="451">
        <f>IF(ISNUMBER(IF(D_I="SI",Datos!L18,Datos!L18+Datos!AF18)),IF(D_I="SI",Datos!L18,Datos!L18+Datos!AF18)," - ")</f>
        <v>231</v>
      </c>
      <c r="J18" s="452">
        <f>IF(ISNUMBER(I18/B18),I18/B18," - ")</f>
        <v>231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f>IF(ISNUMBER(Datos!I20),Datos!I20," - ")</f>
        <v>258</v>
      </c>
      <c r="D20" s="452" t="str">
        <f>IF(ISNUMBER(C20/Datos!BH20),C20/Datos!BH20," - ")</f>
        <v xml:space="preserve"> - </v>
      </c>
      <c r="E20" s="451">
        <f>IF(ISNUMBER(Datos!J20),Datos!J20," - ")</f>
        <v>292</v>
      </c>
      <c r="F20" s="452" t="str">
        <f>IF(ISNUMBER(E20/B20),E20/B20," - ")</f>
        <v xml:space="preserve"> - </v>
      </c>
      <c r="G20" s="451">
        <f>IF(ISNUMBER(Datos!K20),Datos!K20," - ")</f>
        <v>226</v>
      </c>
      <c r="H20" s="452" t="str">
        <f>IF(ISNUMBER(G20/B20),G20/B20," - ")</f>
        <v xml:space="preserve"> - </v>
      </c>
      <c r="I20" s="451">
        <f>IF(ISNUMBER(Datos!L20),Datos!L20," - ")</f>
        <v>324</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2213</v>
      </c>
      <c r="D23" s="1147" t="str">
        <f>IF(ISNUMBER(C23/Datos!BI23),C23/Datos!BI23," - ")</f>
        <v xml:space="preserve"> - </v>
      </c>
      <c r="E23" s="1146">
        <f>SUBTOTAL(9,E15:E22)</f>
        <v>2170</v>
      </c>
      <c r="F23" s="1147">
        <f>IF(ISNUMBER(E23/B23),E23/B23," - ")</f>
        <v>542.5</v>
      </c>
      <c r="G23" s="1146">
        <f>SUBTOTAL(9,G15:G22)</f>
        <v>2087</v>
      </c>
      <c r="H23" s="1147">
        <f>IF(ISNUMBER(G23/B23),G23/B23," - ")</f>
        <v>521.75</v>
      </c>
      <c r="I23" s="1146">
        <f>SUBTOTAL(9,I15:I22)</f>
        <v>2307</v>
      </c>
      <c r="J23" s="1147">
        <f>IF(ISNUMBER(I23/B23),I23/B23," - ")</f>
        <v>576.75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5852</v>
      </c>
      <c r="D31" s="1085" t="str">
        <f>IF(ISNUMBER(C31/Datos!BI31),C31/Datos!BI31," - ")</f>
        <v xml:space="preserve"> - </v>
      </c>
      <c r="E31" s="1084">
        <f>SUBTOTAL(9,E9:E30)</f>
        <v>4667</v>
      </c>
      <c r="F31" s="1085">
        <f>IF(ISNUMBER(E31/B31),E31/B31," - ")</f>
        <v>424.27272727272725</v>
      </c>
      <c r="G31" s="1084">
        <f>SUBTOTAL(9,G9:G30)</f>
        <v>4448</v>
      </c>
      <c r="H31" s="1085">
        <f>IF(ISNUMBER(G31/B31),G31/B31," - ")</f>
        <v>404.36363636363637</v>
      </c>
      <c r="I31" s="1084">
        <f>SUBTOTAL(9,I9:I30)</f>
        <v>6034</v>
      </c>
      <c r="J31" s="1085">
        <f>IF(ISNUMBER(I31/B31),I31/B31," - ")</f>
        <v>548.5454545454545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qsk0VFl/4SJ248CKVipm7lzQozmgHG/hzr73OuuIy+AzLklLLZ5Imb6cyXVZCpVeQMMSw7g3T39pT6FQU17tQ==" saltValue="XGW1czVM+QM5tA3MmZ9n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LA RIOJA</v>
      </c>
      <c r="F1" s="856"/>
      <c r="W1"/>
      <c r="X1"/>
      <c r="BE1" s="856"/>
    </row>
    <row r="2" spans="1:65" ht="16.5" customHeight="1">
      <c r="C2" s="567" t="str">
        <f>Criterios!A10 &amp;"  "&amp;Criterios!B10 &amp; "  " &amp; IF(NOT(ISBLANK(Criterios!A11)),Criterios!A11 &amp;"  "&amp;Criterios!B11,"")</f>
        <v>Provincias  LA RIOJA  Resumenes por Partidos Judiciales  LOGROÑO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1 al 1</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317</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127</v>
      </c>
      <c r="G10" s="906">
        <f>IF(ISNUMBER(Datos!I10),Datos!I10," - ")</f>
        <v>127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38</v>
      </c>
      <c r="AC10" s="905" t="str">
        <f>IF(ISNUMBER(IF(D_I="SI",DatosP!K18,DatosP!K18+DatosP!AE18)),IF(D_I="SI",DatosP!K18,DatosP!K18+DatosP!AE18)," - ")</f>
        <v xml:space="preserve"> - </v>
      </c>
      <c r="AD10" s="907"/>
      <c r="AE10" s="907"/>
      <c r="AF10" s="910">
        <f>IF(ISNUMBER(Datos!L10),Datos!L10,"-")</f>
        <v>136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24</v>
      </c>
      <c r="AM10" s="914">
        <f>IF(ISNUMBER(Datos!N10+DatosP!N18),Datos!N10+DatosP!N18," - ")</f>
        <v>16</v>
      </c>
      <c r="AN10" s="914">
        <f>IF(ISNUMBER(Datos!BW10+DatosP!BW18),Datos!BW10+DatosP!BW18," - ")</f>
        <v>0</v>
      </c>
      <c r="AO10" s="915">
        <f>IF(ISNUMBER(Datos!BX10+DatosP!BX18),Datos!BX10+DatosP!BX18," - ")</f>
        <v>0</v>
      </c>
      <c r="AP10" s="917">
        <f>IF(ISNUMBER(((Datos!L10/Datos!K10)*11)/factor_trimestre),((Datos!L10/Datos!K10)*11)/factor_trimestre," - ")</f>
        <v>10.736842105263159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-3.2786885245901641E-2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127</v>
      </c>
      <c r="G14" s="1256">
        <f t="shared" si="0"/>
        <v>127</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38</v>
      </c>
      <c r="AC14" s="1257">
        <f t="shared" si="1"/>
        <v>0</v>
      </c>
      <c r="AD14" s="1257">
        <f t="shared" si="1"/>
        <v>2</v>
      </c>
      <c r="AE14" s="1257">
        <f t="shared" si="1"/>
        <v>0</v>
      </c>
      <c r="AF14" s="1257">
        <f t="shared" si="1"/>
        <v>136</v>
      </c>
      <c r="AG14" s="1257">
        <f t="shared" si="1"/>
        <v>0</v>
      </c>
      <c r="AH14" s="1257">
        <f t="shared" si="1"/>
        <v>59</v>
      </c>
      <c r="AI14" s="1257">
        <f t="shared" si="1"/>
        <v>0</v>
      </c>
      <c r="AJ14" s="1257">
        <f t="shared" si="1"/>
        <v>0</v>
      </c>
      <c r="AK14" s="1257">
        <f t="shared" si="1"/>
        <v>0</v>
      </c>
      <c r="AL14" s="1257">
        <f t="shared" si="1"/>
        <v>24</v>
      </c>
      <c r="AM14" s="1257">
        <f t="shared" si="1"/>
        <v>16</v>
      </c>
      <c r="AN14" s="1257">
        <f t="shared" si="1"/>
        <v>0</v>
      </c>
      <c r="AO14" s="1257">
        <f t="shared" si="1"/>
        <v>0</v>
      </c>
      <c r="AP14" s="1262">
        <f>IF(ISNUMBER(((Datos!L14/Datos!K14)*11)/factor_trimestre),((Datos!L14/Datos!K14)*11)/factor_trimestre," - ")</f>
        <v>5.0640668523676888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-0.29921259842519687</v>
      </c>
      <c r="AU14" s="1257" t="str">
        <f>IF(ISNUMBER((DatosP!#REF!-DatosP!#REF!+DatosP!#REF!)/(DatosP!#REF!+DatosP!#REF!-DatosP!#REF!-DatosP!#REF!)),(DatosP!#REF!-DatosP!#REF!+DatosP!#REF!)/(DatosP!#REF!+DatosP!#REF!-DatosP!#REF!-DatosP!#REF!)," - ")</f>
        <v xml:space="preserve"> - </v>
      </c>
      <c r="AV14" s="1263">
        <f>SUBTOTAL(9,AV9:AV13)</f>
        <v>-3.2786885245901641E-2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3.3162434115955914</v>
      </c>
      <c r="AQ23" s="1262">
        <f>IF(ISNUMBER(((Datos!M23/Datos!L23)*11)/factor_trimestre),((Datos!M23/Datos!L23)*11)/factor_trimestre," - ")</f>
        <v>0.44213263979193762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0.04</v>
      </c>
      <c r="AW23" s="1265">
        <f>IF(ISNUMBER((Datos!Q23-Datos!R23)/(Datos!S23-Datos!Q23+Datos!R23)),(Datos!Q23-Datos!R23)/(Datos!S23-Datos!Q23+Datos!R23)," - ")</f>
        <v>-7.4978577549271633E-2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127</v>
      </c>
      <c r="G31" s="1278">
        <f t="shared" si="8"/>
        <v>127</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38</v>
      </c>
      <c r="AC31" s="1284">
        <f t="shared" si="9"/>
        <v>0</v>
      </c>
      <c r="AD31" s="1284">
        <f t="shared" si="9"/>
        <v>2</v>
      </c>
      <c r="AE31" s="1284">
        <f t="shared" si="9"/>
        <v>0</v>
      </c>
      <c r="AF31" s="1285">
        <f t="shared" si="9"/>
        <v>136</v>
      </c>
      <c r="AG31" s="1285">
        <f t="shared" si="9"/>
        <v>0</v>
      </c>
      <c r="AH31" s="1285">
        <f t="shared" si="9"/>
        <v>59</v>
      </c>
      <c r="AI31" s="1285">
        <f t="shared" si="9"/>
        <v>0</v>
      </c>
      <c r="AJ31" s="1286">
        <f t="shared" si="9"/>
        <v>0</v>
      </c>
      <c r="AK31" s="1286">
        <f t="shared" si="9"/>
        <v>0</v>
      </c>
      <c r="AL31" s="1278">
        <f t="shared" si="9"/>
        <v>24</v>
      </c>
      <c r="AM31" s="1278">
        <f t="shared" si="9"/>
        <v>16</v>
      </c>
      <c r="AN31" s="1278">
        <f t="shared" si="9"/>
        <v>0</v>
      </c>
      <c r="AO31" s="1278">
        <f t="shared" si="9"/>
        <v>0</v>
      </c>
      <c r="AP31" s="1278">
        <f>IF(ISNUMBER(((Datos!L31/Datos!K31)*11)/factor_trimestre),((Datos!L31/Datos!K31)*11)/factor_trimestre," - ")</f>
        <v>4.20396132987503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-0.29921259842519687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-1.5288015288015287E-2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3.0322342331100418</v>
      </c>
      <c r="F33" s="1006">
        <f>IF(ISNUMBER(STDEV(F8:F30)),STDEV(F8:F30),"-")</f>
        <v>69.56076480315609</v>
      </c>
      <c r="G33" s="1007">
        <f>IF(ISNUMBER(STDEV(G8:G30)),STDEV(G8:G30),"-")</f>
        <v>69.56076480315609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20.813457185196313</v>
      </c>
      <c r="AC33" s="1008">
        <f>IF(ISNUMBER(STDEV(AC8:AC30)),STDEV(AC8:AC30),"-")</f>
        <v>0</v>
      </c>
      <c r="AD33" s="1011"/>
      <c r="AE33" s="1011"/>
      <c r="AF33" s="1011"/>
      <c r="AG33" s="1011"/>
      <c r="AH33" s="1011"/>
      <c r="AI33" s="1011"/>
      <c r="AJ33" s="1012">
        <f>IF(ISNUMBER(STDEV(AJ8:AJ30)),STDEV(AJ8:AJ30),"-")</f>
        <v>0</v>
      </c>
      <c r="AK33" s="1014"/>
      <c r="AL33" s="1006">
        <f>IF(ISNUMBER(STDEV(AL8:AL30)),STDEV(AL8:AL30),"-")</f>
        <v>12.393546707863734</v>
      </c>
      <c r="AM33" s="1006"/>
      <c r="AN33" s="1006">
        <f>IF(ISNUMBER(STDEV(AN8:AN30)),STDEV(AN8:AN30),"-")</f>
        <v>0</v>
      </c>
      <c r="AO33" s="1012">
        <f>IF(ISNUMBER(STDEV(AO8:AO30)),STDEV(AO8:AO30),"-")</f>
        <v>0</v>
      </c>
      <c r="AP33" s="1065">
        <f>IF(ISNUMBER(STDEV(AP8:AP30)),STDEV(AP8:AP30),"-")</f>
        <v>3.8794447803441434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DnOQDbZ0L9hNZiKeKnqboq1Nvg9DLo2/zzAFNrCw4ZTonhLF463qanCLZShBq1m22EOsrg+C2Ybv5V+KYRuTQ==" saltValue="vr0GisFyDHdNr4vPL84G6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LA RIOJA</v>
      </c>
      <c r="C2" s="436"/>
      <c r="E2" s="436"/>
      <c r="F2" s="436"/>
      <c r="G2" s="436"/>
      <c r="H2" s="436"/>
    </row>
    <row r="3" spans="1:15" ht="39">
      <c r="A3" s="463" t="s">
        <v>276</v>
      </c>
      <c r="B3" s="439" t="str">
        <f>Criterios!A10 &amp;"  "&amp;Criterios!B10</f>
        <v>Provincias  LA RIOJA</v>
      </c>
      <c r="C3" s="463"/>
      <c r="F3" s="436"/>
      <c r="G3" s="436"/>
      <c r="H3" s="436"/>
    </row>
    <row r="4" spans="1:15" ht="13.5" thickBot="1">
      <c r="A4" s="436"/>
      <c r="B4" s="439" t="str">
        <f>Criterios!A11 &amp;"  "&amp;Criterios!B11</f>
        <v>Resumenes por Partidos Judiciales  LOGROÑO</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Yfwj/av1Px9PXrzbIqTPNFtDKSOJl3aWEYwUO022/cZjVUYmyoraa9hwIaHbAhsQBvm3JuTaZEwMVLsu7AE6Q==" saltValue="Dqp2v/6KNZLj/WtWJTVG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LA RIOJA</v>
      </c>
      <c r="C2" s="475"/>
      <c r="D2" s="418"/>
    </row>
    <row r="3" spans="1:9" ht="19.5">
      <c r="A3" s="476" t="s">
        <v>16</v>
      </c>
      <c r="B3" s="477" t="str">
        <f>Criterios!A10 &amp;"  "&amp;Criterios!B10</f>
        <v>Provincias  LA RIOJA</v>
      </c>
      <c r="C3" s="475"/>
      <c r="D3" s="476"/>
    </row>
    <row r="4" spans="1:9" ht="13.5" thickBot="1">
      <c r="B4" s="477" t="str">
        <f>Criterios!A11 &amp;"  "&amp;Criterios!B11</f>
        <v>Resumenes por Partidos Judiciales  LOGROÑO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526</v>
      </c>
      <c r="E9" s="452">
        <f t="shared" ref="E9:E14" si="0">IF(ISNUMBER(D9/B9),D9/B9," - ")</f>
        <v>87.666666666666671</v>
      </c>
      <c r="F9" s="451">
        <f>IF(ISNUMBER(Datos!N9),Datos!N9," - ")</f>
        <v>647</v>
      </c>
      <c r="G9" s="452">
        <f t="shared" ref="G9:G14" si="1">IF(ISNUMBER(F9/B9),F9/B9," - ")</f>
        <v>107.83333333333333</v>
      </c>
      <c r="H9" s="451">
        <f>IF(ISNUMBER(Datos!O9),Datos!O9," - ")</f>
        <v>1151</v>
      </c>
      <c r="I9" s="452">
        <f>IF(ISNUMBER(H9/B9),H9/B9," - ")</f>
        <v>191.83333333333334</v>
      </c>
    </row>
    <row r="10" spans="1:9">
      <c r="A10" s="450" t="str">
        <f>Datos!A10</f>
        <v>Jdos. Violencia contra la mujer</v>
      </c>
      <c r="B10" s="480">
        <f>Datos!AO10</f>
        <v>1</v>
      </c>
      <c r="C10" s="458">
        <f>Datos!AQ10</f>
        <v>1</v>
      </c>
      <c r="D10" s="451">
        <f>IF(ISNUMBER(Datos!M10),Datos!M10," - ")</f>
        <v>24</v>
      </c>
      <c r="E10" s="452">
        <f>IF(ISNUMBER(D10/B10),D10/B10," - ")</f>
        <v>24</v>
      </c>
      <c r="F10" s="451">
        <f>IF(ISNUMBER(Datos!N10),Datos!N10," - ")</f>
        <v>16</v>
      </c>
      <c r="G10" s="452">
        <f>IF(ISNUMBER(F10/B10),F10/B10," - ")</f>
        <v>16</v>
      </c>
      <c r="H10" s="451">
        <f>IF(ISNUMBER(Datos!O10),Datos!O10," - ")</f>
        <v>4</v>
      </c>
      <c r="I10" s="452">
        <f t="shared" ref="I10:I13" si="2">IF(ISNUMBER(H10/B10),H10/B10," - ")</f>
        <v>4</v>
      </c>
    </row>
    <row r="11" spans="1:9">
      <c r="A11" s="450" t="str">
        <f>Datos!A11</f>
        <v xml:space="preserve">Jdos. Familia                                   </v>
      </c>
      <c r="B11" s="480">
        <f>Datos!AO11</f>
        <v>1</v>
      </c>
      <c r="C11" s="458">
        <f>Datos!AQ11</f>
        <v>1</v>
      </c>
      <c r="D11" s="451">
        <f>IF(ISNUMBER(Datos!M11),Datos!M11," - ")</f>
        <v>126</v>
      </c>
      <c r="E11" s="452">
        <f t="shared" si="0"/>
        <v>126</v>
      </c>
      <c r="F11" s="451">
        <f>IF(ISNUMBER(Datos!N11),Datos!N11," - ")</f>
        <v>175</v>
      </c>
      <c r="G11" s="452">
        <f t="shared" si="1"/>
        <v>175</v>
      </c>
      <c r="H11" s="451">
        <f>IF(ISNUMBER(Datos!O11),Datos!O11," - ")</f>
        <v>77</v>
      </c>
      <c r="I11" s="452">
        <f t="shared" si="2"/>
        <v>77</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676</v>
      </c>
      <c r="E14" s="1147">
        <f t="shared" si="0"/>
        <v>84.5</v>
      </c>
      <c r="F14" s="1146">
        <f>SUBTOTAL(9,F9:F13)</f>
        <v>838</v>
      </c>
      <c r="G14" s="1147">
        <f t="shared" si="1"/>
        <v>104.75</v>
      </c>
      <c r="H14" s="1146">
        <f>SUBTOTAL(9,H9:H13)</f>
        <v>1232</v>
      </c>
      <c r="I14" s="1147">
        <f>IF(ISNUMBER(H14/B14),H14/B14," - ")</f>
        <v>154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296</v>
      </c>
      <c r="E16" s="452">
        <f t="shared" ref="E16:E23" si="3">IF(ISNUMBER(D16/B16),D16/B16," - ")</f>
        <v>98.666666666666671</v>
      </c>
      <c r="F16" s="451">
        <f>IF(ISNUMBER(Datos!N16),Datos!N16," - ")</f>
        <v>833</v>
      </c>
      <c r="G16" s="452">
        <f t="shared" ref="G16:G23" si="4">IF(ISNUMBER(F16/B16),F16/B16," - ")</f>
        <v>277.66666666666669</v>
      </c>
      <c r="H16" s="451">
        <f>IF(ISNUMBER(Datos!O16),Datos!O16," - ")</f>
        <v>57</v>
      </c>
      <c r="I16" s="452">
        <f t="shared" ref="I16:I22" si="5">IF(ISNUMBER(H16/B16),H16/B16," - ")</f>
        <v>19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44</v>
      </c>
      <c r="E18" s="452">
        <f>IF(ISNUMBER(D18/B18),D18/B18," - ")</f>
        <v>44</v>
      </c>
      <c r="F18" s="451">
        <f>IF(ISNUMBER(Datos!N18),Datos!N18," - ")</f>
        <v>127</v>
      </c>
      <c r="G18" s="452">
        <f>IF(ISNUMBER(F18/B18),F18/B18," - ")</f>
        <v>127</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f>IF(ISNUMBER(Datos!N20),Datos!N20," - ")</f>
        <v>201</v>
      </c>
      <c r="G20" s="452" t="str">
        <f t="shared" si="4"/>
        <v xml:space="preserve"> - </v>
      </c>
      <c r="H20" s="451">
        <f>IF(ISNUMBER(Datos!O20),Datos!O20," - ")</f>
        <v>0</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340</v>
      </c>
      <c r="E23" s="1147">
        <f t="shared" si="3"/>
        <v>85</v>
      </c>
      <c r="F23" s="1146">
        <f>SUBTOTAL(9,F16:F22)</f>
        <v>1161</v>
      </c>
      <c r="G23" s="1147">
        <f t="shared" si="4"/>
        <v>290.25</v>
      </c>
      <c r="H23" s="1146">
        <f>SUBTOTAL(9,H16:H22)</f>
        <v>58</v>
      </c>
      <c r="I23" s="1147">
        <f>IF(ISNUMBER(H23/B23),H23/B23," - ")</f>
        <v>14.5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1016</v>
      </c>
      <c r="E31" s="1085">
        <f>IF(ISNUMBER(D31/B31),D31/B31," - ")</f>
        <v>92.36363636363636</v>
      </c>
      <c r="F31" s="1084">
        <f>SUBTOTAL(9,F8:F30)</f>
        <v>1999</v>
      </c>
      <c r="G31" s="1085">
        <f>IF(ISNUMBER(F31/B31),F31/B31," - ")</f>
        <v>181.72727272727272</v>
      </c>
      <c r="H31" s="1084">
        <f>SUBTOTAL(9,H8:H30)</f>
        <v>1290</v>
      </c>
      <c r="I31" s="1085">
        <f>IF(ISNUMBER(H31/B31),H31/B31," - ")</f>
        <v>117.27272727272727</v>
      </c>
    </row>
    <row r="34" spans="1:1">
      <c r="A34" s="439" t="str">
        <f>Criterios!A4</f>
        <v>Fecha Informe: 05 may. 2023</v>
      </c>
    </row>
    <row r="39" spans="1:1">
      <c r="A39" s="462"/>
    </row>
  </sheetData>
  <sheetProtection algorithmName="SHA-512" hashValue="s7VG6fCHSEZSE4kZ8kSyWBMY0PZSgC1FWjsDJLqBC8iZVALb9ngeRpPWfTGhgGrXo+nS8rp3fx6B/jxw2j/Dqg==" saltValue="TOM0lYQKlFsP2mFTqCpF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LA RIOJA</v>
      </c>
    </row>
    <row r="3" spans="1:4" ht="19.5">
      <c r="A3" s="484" t="s">
        <v>48</v>
      </c>
      <c r="B3" s="439" t="str">
        <f>Criterios!A10 &amp;"  "&amp;Criterios!B10</f>
        <v>Provincias  LA RIOJA</v>
      </c>
    </row>
    <row r="4" spans="1:4" ht="13.5" thickBot="1">
      <c r="B4" s="439" t="str">
        <f>Criterios!A11 &amp;"  "&amp;Criterios!B11</f>
        <v>Resumenes por Partidos Judiciales  LOGROÑO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623</v>
      </c>
      <c r="C9" s="489">
        <f>IF(ISNUMBER(Datos!Q9),Datos!Q9," - ")</f>
        <v>771</v>
      </c>
      <c r="D9" s="456">
        <f>IF(ISNUMBER(Datos!R9),Datos!R9," - ")</f>
        <v>6213</v>
      </c>
    </row>
    <row r="10" spans="1:4">
      <c r="A10" s="450" t="str">
        <f>Datos!A10</f>
        <v>Jdos. Violencia contra la mujer</v>
      </c>
      <c r="B10" s="488">
        <f>IF(ISNUMBER(Datos!P10),Datos!P10," - ")</f>
        <v>14</v>
      </c>
      <c r="C10" s="489">
        <f>IF(ISNUMBER(Datos!Q10),Datos!Q10," - ")</f>
        <v>6</v>
      </c>
      <c r="D10" s="456">
        <f>IF(ISNUMBER(Datos!R10),Datos!R10," - ")</f>
        <v>144</v>
      </c>
    </row>
    <row r="11" spans="1:4">
      <c r="A11" s="450" t="str">
        <f>Datos!A11</f>
        <v xml:space="preserve">Jdos. Familia                                   </v>
      </c>
      <c r="B11" s="488">
        <f>IF(ISNUMBER(Datos!P11),Datos!P11," - ")</f>
        <v>37</v>
      </c>
      <c r="C11" s="489">
        <f>IF(ISNUMBER(Datos!Q11),Datos!Q11," - ")</f>
        <v>18</v>
      </c>
      <c r="D11" s="456">
        <f>IF(ISNUMBER(Datos!R11),Datos!R11," - ")</f>
        <v>512</v>
      </c>
    </row>
    <row r="12" spans="1:4">
      <c r="A12" s="450" t="str">
        <f>Datos!A12</f>
        <v xml:space="preserve">Jdos. 1ª Instª. e Instr.                        </v>
      </c>
      <c r="B12" s="488">
        <f>IF(ISNUMBER(Datos!P12),Datos!P12," - ")</f>
        <v>0</v>
      </c>
      <c r="C12" s="489">
        <f>IF(ISNUMBER(Datos!Q12),Datos!Q12," - ")</f>
        <v>2</v>
      </c>
      <c r="D12" s="456">
        <f>IF(ISNUMBER(Datos!R12),Datos!R12," - ")</f>
        <v>59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674</v>
      </c>
      <c r="C14" s="1150">
        <f>SUBTOTAL(9,C9:C13)</f>
        <v>797</v>
      </c>
      <c r="D14" s="1148">
        <f>SUBTOTAL(9,D9:D13)</f>
        <v>6928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115</v>
      </c>
      <c r="C16" s="489">
        <f>IF(ISNUMBER(Datos!Q16),Datos!Q16," - ")</f>
        <v>110</v>
      </c>
      <c r="D16" s="456">
        <f>IF(ISNUMBER(Datos!R16),Datos!R16," - ")</f>
        <v>278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7</v>
      </c>
      <c r="C18" s="489">
        <f>IF(ISNUMBER(Datos!Q18),Datos!Q18," - ")</f>
        <v>1</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122</v>
      </c>
      <c r="C23" s="1150">
        <f>SUBTOTAL(9,C16:C22)</f>
        <v>111</v>
      </c>
      <c r="D23" s="1148">
        <f>SUBTOTAL(9,D16:D22)</f>
        <v>286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796</v>
      </c>
      <c r="C31" s="1089">
        <f>SUBTOTAL(9,C8:C30)</f>
        <v>908</v>
      </c>
      <c r="D31" s="1090">
        <f>SUBTOTAL(9,D8:D30)</f>
        <v>7214</v>
      </c>
    </row>
    <row r="32" spans="1:4" ht="7.5" customHeight="1"/>
    <row r="33" spans="1:1" ht="6" customHeight="1"/>
    <row r="34" spans="1:1">
      <c r="A34" s="439" t="str">
        <f>Criterios!A4</f>
        <v>Fecha Informe: 05 may. 2023</v>
      </c>
    </row>
    <row r="39" spans="1:1">
      <c r="A39" s="462"/>
    </row>
  </sheetData>
  <sheetProtection algorithmName="SHA-512" hashValue="49Nz8VYIZCw6/P2qhoEcGhedkgWxjNqu5At7nQDtv4Cie7t8ntGSksEKpCoKtCR1I7l+I6ranJ3II5xtlWypEQ==" saltValue="Om9i523qtlXWhu+wUyFj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LA RIOJA</v>
      </c>
    </row>
    <row r="3" spans="1:11" ht="18.75" customHeight="1">
      <c r="A3" s="484" t="s">
        <v>162</v>
      </c>
      <c r="B3" s="439" t="str">
        <f>Criterios!A10 &amp;"  "&amp;Criterios!B10</f>
        <v>Provincias  LA RIOJA</v>
      </c>
    </row>
    <row r="4" spans="1:11" ht="10.5" customHeight="1" thickBot="1">
      <c r="B4" s="439" t="str">
        <f>Criterios!A11 &amp;"  "&amp;Criterios!B11</f>
        <v>Resumenes por Partidos Judiciales  LOGROÑO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-0.11378763866877971</v>
      </c>
      <c r="C9" s="515">
        <f>IF(ISNUMBER(
   IF(J_V="SI",(Datos!J9-Datos!T9)/Datos!T9,(Datos!J9+Datos!Z9-(Datos!T9+Datos!AH9))/(Datos!T9+Datos!AH9))
     ),IF(J_V="SI",(Datos!J9-Datos!T9)/Datos!T9,(Datos!J9+Datos!Z9-(Datos!T9+Datos!AH9))/(Datos!T9+Datos!AH9))," - ")</f>
        <v>0.13440265486725664</v>
      </c>
      <c r="D9" s="515">
        <f>IF(ISNUMBER(
   IF(J_V="SI",(Datos!K9-Datos!U9)/Datos!U9,(Datos!K9+Datos!AA9-(Datos!U9+Datos!AI9))/(Datos!U9+Datos!AI9))
     ),IF(J_V="SI",(Datos!K9-Datos!U9)/Datos!U9,(Datos!K9+Datos!AA9-(Datos!U9+Datos!AI9))/(Datos!U9+Datos!AI9))," - ")</f>
        <v>-7.1260028315243043E-2</v>
      </c>
      <c r="E9" s="515">
        <f>IF(ISNUMBER(
   IF(J_V="SI",(Datos!L9-Datos!V9)/Datos!V9,(Datos!L9+Datos!AB9-(Datos!V9+Datos!AJ9))/(Datos!V9+Datos!AJ9))
     ),IF(J_V="SI",(Datos!L9-Datos!V9)/Datos!V9,(Datos!L9+Datos!AB9-(Datos!V9+Datos!AJ9))/(Datos!V9+Datos!AJ9))," - ")</f>
        <v>1.230661040787623E-2</v>
      </c>
      <c r="F9" s="515">
        <f>IF(ISNUMBER((Datos!M9-Datos!W9)/Datos!W9),(Datos!M9-Datos!W9)/Datos!W9," - ")</f>
        <v>-1.1278195488721804E-2</v>
      </c>
      <c r="G9" s="516">
        <f>IF(ISNUMBER((Datos!N9-Datos!X9)/Datos!X9),(Datos!N9-Datos!X9)/Datos!X9," - ")</f>
        <v>-0.2423887587822014</v>
      </c>
      <c r="H9" s="514">
        <f>IF(ISNUMBER(((NºAsuntos!G9/NºAsuntos!E9)-Datos!BD9)/Datos!BD9),((NºAsuntos!G9/NºAsuntos!E9)-Datos!BD9)/Datos!BD9," - ")</f>
        <v>-0.18129601715941462</v>
      </c>
      <c r="I9" s="515">
        <f>IF(ISNUMBER(((NºAsuntos!I9/NºAsuntos!G9)-Datos!BE9)/Datos!BE9),((NºAsuntos!I9/NºAsuntos!G9)-Datos!BE9)/Datos!BE9," - ")</f>
        <v>8.9978509885309726E-2</v>
      </c>
      <c r="J9" s="521">
        <f>IF(ISNUMBER((('Resol  Asuntos'!D9/NºAsuntos!G9)-Datos!BF9)/Datos!BF9),(('Resol  Asuntos'!D9/NºAsuntos!G9)-Datos!BF9)/Datos!BF9," - ")</f>
        <v>-0.3368164638906343</v>
      </c>
      <c r="K9" s="522">
        <f>IF(ISNUMBER((((NºAsuntos!C9+NºAsuntos!E9)/NºAsuntos!G9)-Datos!BG9)/Datos!BG9),(((NºAsuntos!C9+NºAsuntos!E9)/NºAsuntos!G9)-Datos!BG9)/Datos!BG9," - ")</f>
        <v>5.1561330266738037E-2</v>
      </c>
    </row>
    <row r="10" spans="1:11">
      <c r="A10" s="450" t="str">
        <f>Datos!A10</f>
        <v>Jdos. Violencia contra la mujer</v>
      </c>
      <c r="B10" s="514">
        <f>IF(ISNUMBER((Datos!I10-Datos!S10)/Datos!S10),(Datos!I10-Datos!S10)/Datos!S10," - ")</f>
        <v>-0.23493975903614459</v>
      </c>
      <c r="C10" s="515">
        <f>IF(ISNUMBER((Datos!J10-Datos!T10)/Datos!T10),(Datos!J10-Datos!T10)/Datos!T10," - ")</f>
        <v>0.14634146341463414</v>
      </c>
      <c r="D10" s="515">
        <f>IF(ISNUMBER((Datos!K10-Datos!U10)/Datos!U10),(Datos!K10-Datos!U10)/Datos!U10," - ")</f>
        <v>-0.43283582089552236</v>
      </c>
      <c r="E10" s="515">
        <f>IF(ISNUMBER((Datos!L10-Datos!V10)/Datos!V10),(Datos!L10-Datos!V10)/Datos!V10," - ")</f>
        <v>-2.8571428571428571E-2</v>
      </c>
      <c r="F10" s="515">
        <f>IF(ISNUMBER((Datos!M10-Datos!W10)/Datos!W10),(Datos!M10-Datos!W10)/Datos!W10," - ")</f>
        <v>-0.33333333333333331</v>
      </c>
      <c r="G10" s="516">
        <f>IF(ISNUMBER((Datos!N10-Datos!X10)/Datos!X10),(Datos!N10-Datos!X10)/Datos!X10," - ")</f>
        <v>0</v>
      </c>
      <c r="H10" s="514">
        <f>IF(ISNUMBER(((NºAsuntos!G10/NºAsuntos!E10)-Datos!BD10)/Datos!BD10),((NºAsuntos!G10/NºAsuntos!E10)-Datos!BD10)/Datos!BD10," - ")</f>
        <v>-0.50523975865354076</v>
      </c>
      <c r="I10" s="515">
        <f>IF(ISNUMBER(((NºAsuntos!I10/NºAsuntos!G10)-Datos!BE10)/Datos!BE10),((NºAsuntos!I10/NºAsuntos!G10)-Datos!BE10)/Datos!BE10," - ")</f>
        <v>0.71278195488721818</v>
      </c>
      <c r="J10" s="521">
        <f>IF(ISNUMBER((('Resol  Asuntos'!D10/NºAsuntos!G10)-Datos!BF10)/Datos!BF10),(('Resol  Asuntos'!D10/NºAsuntos!G10)-Datos!BF10)/Datos!BF10," - ")</f>
        <v>0.175438596491228</v>
      </c>
      <c r="K10" s="522">
        <f>IF(ISNUMBER((((NºAsuntos!C10+NºAsuntos!E10)/NºAsuntos!G10)-Datos!BG10)/Datos!BG10),(((NºAsuntos!C10+NºAsuntos!E10)/NºAsuntos!G10)-Datos!BG10)/Datos!BG10," - ")</f>
        <v>0.48207475209763534</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-8.2156611039794603E-2</v>
      </c>
      <c r="C11" s="515">
        <f>IF(ISNUMBER(
   IF(J_V="SI",(Datos!J11-Datos!T11)/Datos!T11,(Datos!J11+Datos!Z11-(Datos!T11+Datos!AH11))/(Datos!T11+Datos!AH11))
     ),IF(J_V="SI",(Datos!J11-Datos!T11)/Datos!T11,(Datos!J11+Datos!Z11-(Datos!T11+Datos!AH11))/(Datos!T11+Datos!AH11))," - ")</f>
        <v>6.684491978609626E-2</v>
      </c>
      <c r="D11" s="515">
        <f>IF(ISNUMBER(
   IF(J_V="SI",(Datos!K11-Datos!U11)/Datos!U11,(Datos!K11+Datos!AA11-(Datos!U11+Datos!AI11))/(Datos!U11+Datos!AI11))
     ),IF(J_V="SI",(Datos!K11-Datos!U11)/Datos!U11,(Datos!K11+Datos!AA11-(Datos!U11+Datos!AI11))/(Datos!U11+Datos!AI11))," - ")</f>
        <v>-9.2071611253196933E-2</v>
      </c>
      <c r="E11" s="515">
        <f>IF(ISNUMBER(
   IF(J_V="SI",(Datos!L11-Datos!V11)/Datos!V11,(Datos!L11+Datos!AB11-(Datos!V11+Datos!AJ11))/(Datos!V11+Datos!AJ11))
     ),IF(J_V="SI",(Datos!L11-Datos!V11)/Datos!V11,(Datos!L11+Datos!AB11-(Datos!V11+Datos!AJ11))/(Datos!V11+Datos!AJ11))," - ")</f>
        <v>-6.6929133858267723E-2</v>
      </c>
      <c r="F11" s="515">
        <f>IF(ISNUMBER((Datos!M11-Datos!W11)/Datos!W11),(Datos!M11-Datos!W11)/Datos!W11," - ")</f>
        <v>-0.24096385542168675</v>
      </c>
      <c r="G11" s="516">
        <f>IF(ISNUMBER((Datos!N11-Datos!X11)/Datos!X11),(Datos!N11-Datos!X11)/Datos!X11," - ")</f>
        <v>0.10759493670886076</v>
      </c>
      <c r="H11" s="514">
        <f>IF(ISNUMBER(((NºAsuntos!G11/NºAsuntos!E11)-Datos!BD11)/Datos!BD11),((NºAsuntos!G11/NºAsuntos!E11)-Datos!BD11)/Datos!BD11," - ")</f>
        <v>-0.14895935490901163</v>
      </c>
      <c r="I11" s="515">
        <f>IF(ISNUMBER(((NºAsuntos!I11/NºAsuntos!G11)-Datos!BE11)/Datos!BE11),((NºAsuntos!I11/NºAsuntos!G11)-Datos!BE11)/Datos!BE11," - ")</f>
        <v>2.7692137074414987E-2</v>
      </c>
      <c r="J11" s="521">
        <f>IF(ISNUMBER((('Resol  Asuntos'!D11/NºAsuntos!G11)-Datos!BF11)/Datos!BF11),(('Resol  Asuntos'!D11/NºAsuntos!G11)-Datos!BF11)/Datos!BF11," - ")</f>
        <v>-0.12166161526118735</v>
      </c>
      <c r="K11" s="522">
        <f>IF(ISNUMBER((((NºAsuntos!C11+NºAsuntos!E11)/NºAsuntos!G11)-Datos!BG11)/Datos!BG11),(((NºAsuntos!C11+NºAsuntos!E11)/NºAsuntos!G11)-Datos!BG11)/Datos!BG11," - ")</f>
        <v>6.4153524791419753E-2</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-0.11265544989027067</v>
      </c>
      <c r="C14" s="1152">
        <f>IF(ISNUMBER(
   IF(J_V="SI",(Datos!J14-Datos!T14)/Datos!T14,(Datos!J14+Datos!Z14-(Datos!T14+Datos!AH14))/(Datos!T14+Datos!AH14))
     ),IF(J_V="SI",(Datos!J14-Datos!T14)/Datos!T14,(Datos!J14+Datos!Z14-(Datos!T14+Datos!AH14))/(Datos!T14+Datos!AH14))," - ")</f>
        <v>0.12325686009896536</v>
      </c>
      <c r="D14" s="1152">
        <f>IF(ISNUMBER(
   IF(J_V="SI",(Datos!K14-Datos!U14)/Datos!U14,(Datos!K14+Datos!AA14-(Datos!U14+Datos!AI14))/(Datos!U14+Datos!AI14))
     ),IF(J_V="SI",(Datos!K14-Datos!U14)/Datos!U14,(Datos!K14+Datos!AA14-(Datos!U14+Datos!AI14))/(Datos!U14+Datos!AI14))," - ")</f>
        <v>-8.381839348079162E-2</v>
      </c>
      <c r="E14" s="1152">
        <f>IF(ISNUMBER(
   IF(J_V="SI",(Datos!L14-Datos!V14)/Datos!V14,(Datos!L14+Datos!AB14-(Datos!V14+Datos!AJ14))/(Datos!V14+Datos!AJ14))
     ),IF(J_V="SI",(Datos!L14-Datos!V14)/Datos!V14,(Datos!L14+Datos!AB14-(Datos!V14+Datos!AJ14))/(Datos!V14+Datos!AJ14))," - ")</f>
        <v>-5.3376034160661865E-3</v>
      </c>
      <c r="F14" s="1153">
        <f>IF(ISNUMBER((Datos!M14-Datos!W14)/Datos!W14),(Datos!M14-Datos!W14)/Datos!W14," - ")</f>
        <v>-7.901907356948229E-2</v>
      </c>
      <c r="G14" s="1154">
        <f>IF(ISNUMBER((Datos!N14-Datos!X14)/Datos!X14),(Datos!N14-Datos!X14)/Datos!X14," - ")</f>
        <v>-0.18482490272373542</v>
      </c>
      <c r="H14" s="1154">
        <f>IF(ISNUMBER(((NºAsuntos!G14/NºAsuntos!E14)-Datos!BD14)/Datos!BD14),((NºAsuntos!G14/NºAsuntos!E14)-Datos!BD14)/Datos!BD14," - ")</f>
        <v>-0.1843525385293551</v>
      </c>
      <c r="I14" s="1154">
        <f>IF(ISNUMBER(((NºAsuntos!I14/NºAsuntos!G14)-Datos!BE14)/Datos!BE14),((NºAsuntos!I14/NºAsuntos!G14)-Datos!BE14)/Datos!BE14," - ")</f>
        <v>8.5660735280303948E-2</v>
      </c>
      <c r="J14" s="1154">
        <f>IF(ISNUMBER((('Resol  Asuntos'!D14/NºAsuntos!G14)-Datos!BF14)/Datos!BF14),(('Resol  Asuntos'!D14/NºAsuntos!G14)-Datos!BF14)/Datos!BF14," - ")</f>
        <v>-0.29594944566767223</v>
      </c>
      <c r="K14" s="1154">
        <f>IF(ISNUMBER((((NºAsuntos!C14+NºAsuntos!E14)/NºAsuntos!G14)-Datos!BG14)/Datos!BG14),(((NºAsuntos!C14+NºAsuntos!E14)/NºAsuntos!G14)-Datos!BG14)/Datos!BG14," - ")</f>
        <v>5.9038920728761983E-2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4.9049662783568364E-2</v>
      </c>
      <c r="C16" s="515">
        <f>IF(ISNUMBER(
   IF(D_I="SI",(Datos!J16-Datos!T16)/Datos!T16,(Datos!J16+Datos!AD16-(Datos!T16+Datos!AL16))/(Datos!T16+Datos!AL16))
     ),IF(D_I="SI",(Datos!J16-Datos!T16)/Datos!T16,(Datos!J16+Datos!AD16-(Datos!T16+Datos!AL16))/(Datos!T16+Datos!AL16))," - ")</f>
        <v>0.19033886085075702</v>
      </c>
      <c r="D16" s="515">
        <f>IF(ISNUMBER(
   IF(D_I="SI",(Datos!K16-Datos!U16)/Datos!U16,(Datos!K16+Datos!AE16-(Datos!U16+Datos!AM16))/(Datos!U16+Datos!AM16))
     ),IF(D_I="SI",(Datos!K16-Datos!U16)/Datos!U16,(Datos!K16+Datos!AE16-(Datos!U16+Datos!AM16))/(Datos!U16+Datos!AM16))," - ")</f>
        <v>5.5338541666666664E-2</v>
      </c>
      <c r="E16" s="515">
        <f>IF(ISNUMBER(
   IF(D_I="SI",(Datos!L16-Datos!V16)/Datos!V16,(Datos!L16+Datos!AF16-(Datos!V16+Datos!AN16))/(Datos!V16+Datos!AN16))
     ),IF(D_I="SI",(Datos!L16-Datos!V16)/Datos!V16,(Datos!L16+Datos!AF16-(Datos!V16+Datos!AN16))/(Datos!V16+Datos!AN16))," - ")</f>
        <v>0.24079320113314448</v>
      </c>
      <c r="F16" s="515">
        <f>IF(ISNUMBER((Datos!M16-Datos!W16)/Datos!W16),(Datos!M16-Datos!W16)/Datos!W16," - ")</f>
        <v>0.21311475409836064</v>
      </c>
      <c r="G16" s="516">
        <f>IF(ISNUMBER((Datos!N16-Datos!X16)/Datos!X16),(Datos!N16-Datos!X16)/Datos!X16," - ")</f>
        <v>0.13642564802182811</v>
      </c>
      <c r="H16" s="514">
        <f>IF(ISNUMBER(((NºAsuntos!G16/NºAsuntos!E16)-Datos!BD16)/Datos!BD16),((NºAsuntos!G16/NºAsuntos!E16)-Datos!BD16)/Datos!BD16," - ")</f>
        <v>-0.1134133511255804</v>
      </c>
      <c r="I16" s="515">
        <f>IF(ISNUMBER(((NºAsuntos!I16/NºAsuntos!G16)-Datos!BE16)/Datos!BE16),((NºAsuntos!I16/NºAsuntos!G16)-Datos!BE16)/Datos!BE16," - ")</f>
        <v>0.17573001661968538</v>
      </c>
      <c r="J16" s="521">
        <f>IF(ISNUMBER((('Resol  Asuntos'!D16/NºAsuntos!G16)-Datos!BF16)/Datos!BF16),(('Resol  Asuntos'!D16/NºAsuntos!G16)-Datos!BF16)/Datos!BF16," - ")</f>
        <v>0.14950293787481936</v>
      </c>
      <c r="K16" s="522">
        <f>IF(ISNUMBER((((NºAsuntos!C16+NºAsuntos!E16)/NºAsuntos!G16)-Datos!BG16)/Datos!BG16),(((NºAsuntos!C16+NºAsuntos!E16)/NºAsuntos!G16)-Datos!BG16)/Datos!BG16," - ")</f>
        <v>5.5569114615208186E-2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-5.4263565891472867E-2</v>
      </c>
      <c r="C18" s="515">
        <f>IF(ISNUMBER(
   IF(D_I="SI",(Datos!J18-Datos!T18)/Datos!T18,(Datos!J18+Datos!AD18-(Datos!T18+Datos!AL18))/(Datos!T18+Datos!AL18))
     ),IF(D_I="SI",(Datos!J18-Datos!T18)/Datos!T18,(Datos!J18+Datos!AD18-(Datos!T18+Datos!AL18))/(Datos!T18+Datos!AL18))," - ")</f>
        <v>7.0754716981132074E-2</v>
      </c>
      <c r="D18" s="515">
        <f>IF(ISNUMBER(
   IF(D_I="SI",(Datos!K18-Datos!U18)/Datos!U18,(Datos!K18+Datos!AE18-(Datos!U18+Datos!AM18))/(Datos!U18+Datos!AM18))
     ),IF(D_I="SI",(Datos!K18-Datos!U18)/Datos!U18,(Datos!K18+Datos!AE18-(Datos!U18+Datos!AM18))/(Datos!U18+Datos!AM18))," - ")</f>
        <v>0.19402985074626866</v>
      </c>
      <c r="E18" s="515">
        <f>IF(ISNUMBER(
   IF(D_I="SI",(Datos!L18-Datos!V18)/Datos!V18,(Datos!L18+Datos!AF18-(Datos!V18+Datos!AN18))/(Datos!V18+Datos!AN18))
     ),IF(D_I="SI",(Datos!L18-Datos!V18)/Datos!V18,(Datos!L18+Datos!AF18-(Datos!V18+Datos!AN18))/(Datos!V18+Datos!AN18))," - ")</f>
        <v>-0.14126394052044611</v>
      </c>
      <c r="F18" s="515">
        <f>IF(ISNUMBER((Datos!M18-Datos!W18)/Datos!W18),(Datos!M18-Datos!W18)/Datos!W18," - ")</f>
        <v>1.4444444444444444</v>
      </c>
      <c r="G18" s="516">
        <f>IF(ISNUMBER((Datos!N18-Datos!X18)/Datos!X18),(Datos!N18-Datos!X18)/Datos!X18," - ")</f>
        <v>0.30927835051546393</v>
      </c>
      <c r="H18" s="514">
        <f>IF(ISNUMBER(((NºAsuntos!G18/NºAsuntos!E18)-Datos!BD18)/Datos!BD18),((NºAsuntos!G18/NºAsuntos!E18)-Datos!BD18)/Datos!BD18," - ")</f>
        <v>0.11512919981589853</v>
      </c>
      <c r="I18" s="515">
        <f>IF(ISNUMBER(((NºAsuntos!I18/NºAsuntos!G18)-Datos!BE18)/Datos!BE18),((NºAsuntos!I18/NºAsuntos!G18)-Datos!BE18)/Datos!BE18," - ")</f>
        <v>-0.28080855018587358</v>
      </c>
      <c r="J18" s="521">
        <f>IF(ISNUMBER((('Resol  Asuntos'!D18/NºAsuntos!G18)-Datos!BF18)/Datos!BF18),(('Resol  Asuntos'!D18/NºAsuntos!G18)-Datos!BF18)/Datos!BF18," - ")</f>
        <v>1.0472222222222223</v>
      </c>
      <c r="K18" s="522">
        <f>IF(ISNUMBER((((NºAsuntos!C18+NºAsuntos!E18)/NºAsuntos!G18)-Datos!BG18)/Datos!BG18),(((NºAsuntos!C18+NºAsuntos!E18)/NºAsuntos!G18)-Datos!BG18)/Datos!BG18," - ")</f>
        <v>-0.16071808510638294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f>IF(ISNUMBER((Datos!I20-Datos!S20)/Datos!S20),(Datos!I20-Datos!S20)/Datos!S20," - ")</f>
        <v>-4.4444444444444446E-2</v>
      </c>
      <c r="C20" s="515">
        <f>IF(ISNUMBER((Datos!J20-Datos!T20)/Datos!T20),(Datos!J20-Datos!T20)/Datos!T20," - ")</f>
        <v>0.2807017543859649</v>
      </c>
      <c r="D20" s="515">
        <f>IF(ISNUMBER((Datos!K20-Datos!U20)/Datos!U20),(Datos!K20-Datos!U20)/Datos!U20," - ")</f>
        <v>-0.16605166051660517</v>
      </c>
      <c r="E20" s="515">
        <f>IF(ISNUMBER((Datos!L20-Datos!V20)/Datos!V20),(Datos!L20-Datos!V20)/Datos!V20," - ")</f>
        <v>0.42731277533039647</v>
      </c>
      <c r="F20" s="515" t="str">
        <f>IF(ISNUMBER((Datos!M20-Datos!W20)/Datos!W20),(Datos!M20-Datos!W20)/Datos!W20," - ")</f>
        <v xml:space="preserve"> - </v>
      </c>
      <c r="G20" s="516">
        <f>IF(ISNUMBER((Datos!N20-Datos!X20)/Datos!X20),(Datos!N20-Datos!X20)/Datos!X20," - ")</f>
        <v>-0.18623481781376519</v>
      </c>
      <c r="H20" s="514">
        <f>IF(ISNUMBER(((NºAsuntos!G20/NºAsuntos!E20)-Datos!BD20)/Datos!BD20),((NºAsuntos!G20/NºAsuntos!E20)-Datos!BD20)/Datos!BD20," - ")</f>
        <v>-0.34883485821159582</v>
      </c>
      <c r="I20" s="515">
        <f>IF(ISNUMBER(((NºAsuntos!I20/NºAsuntos!G20)-Datos!BE20)/Datos!BE20),((NºAsuntos!I20/NºAsuntos!G20)-Datos!BE20)/Datos!BE20," - ")</f>
        <v>0.71151222174574091</v>
      </c>
      <c r="J20" s="521" t="str">
        <f>IF(ISNUMBER((('Resol  Asuntos'!D20/NºAsuntos!G20)-Datos!BF20)/Datos!BF20),(('Resol  Asuntos'!D20/NºAsuntos!G20)-Datos!BF20)/Datos!BF20," - ")</f>
        <v xml:space="preserve"> - </v>
      </c>
      <c r="K20" s="522">
        <f>IF(ISNUMBER((((NºAsuntos!C20+NºAsuntos!E20)/NºAsuntos!G20)-Datos!BG20)/Datos!BG20),(((NºAsuntos!C20+NºAsuntos!E20)/NºAsuntos!G20)-Datos!BG20)/Datos!BG20," - ")</f>
        <v>0.32432384404876141</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2.5011579434923575E-2</v>
      </c>
      <c r="C23" s="1152">
        <f>IF(ISNUMBER(
   IF(Criterios!B14="SI",(Datos!J23-Datos!T23)/Datos!T23,(Datos!J23+Datos!AD23-(Datos!T23+Datos!AL23))/(Datos!T23+Datos!AL23))
     ),IF(Criterios!B14="SI",(Datos!J23-Datos!T23)/Datos!T23,(Datos!J23+Datos!AD23-(Datos!T23+Datos!AL23))/(Datos!T23+Datos!AL23))," - ")</f>
        <v>0.18773946360153257</v>
      </c>
      <c r="D23" s="1152">
        <f>IF(ISNUMBER(
   IF(Criterios!B14="SI",(Datos!K23-Datos!U23)/Datos!U23,(Datos!K23+Datos!AE23-(Datos!U23+Datos!AM23))/(Datos!U23+Datos!AM23))
     ),IF(Criterios!B14="SI",(Datos!K23-Datos!U23)/Datos!U23,(Datos!K23+Datos!AE23-(Datos!U23+Datos!AM23))/(Datos!U23+Datos!AM23))," - ")</f>
        <v>3.9342629482071713E-2</v>
      </c>
      <c r="E23" s="1152">
        <f>IF(ISNUMBER(
   IF(Criterios!B14="SI",(Datos!L23-Datos!V23)/Datos!V23,(Datos!L23+Datos!AF23-(Datos!V23+Datos!AN23))/(Datos!V23+Datos!AN23))
     ),IF(Criterios!B14="SI",(Datos!L23-Datos!V23)/Datos!V23,(Datos!L23+Datos!AF23-(Datos!V23+Datos!AN23))/(Datos!V23+Datos!AN23))," - ")</f>
        <v>0.20911949685534592</v>
      </c>
      <c r="F23" s="1153">
        <f>IF(ISNUMBER((Datos!M23-Datos!W23)/Datos!W23),(Datos!M23-Datos!W23)/Datos!W23," - ")</f>
        <v>0.29770992366412213</v>
      </c>
      <c r="G23" s="1154">
        <f>IF(ISNUMBER((Datos!N23-Datos!X23)/Datos!X23),(Datos!N23-Datos!X23)/Datos!X23," - ")</f>
        <v>7.7994428969359333E-2</v>
      </c>
      <c r="H23" s="1154">
        <f>IF(ISNUMBER(((NºAsuntos!G23/NºAsuntos!E23)-Datos!BD23)/Datos!BD23),((NºAsuntos!G23/NºAsuntos!E23)-Datos!BD23)/Datos!BD23," - ")</f>
        <v>-0.12494056033928792</v>
      </c>
      <c r="I23" s="1154">
        <f>IF(ISNUMBER(((NºAsuntos!I23/NºAsuntos!G23)-Datos!BE23)/Datos!BE23),((NºAsuntos!I23/NºAsuntos!G23)-Datos!BE23)/Datos!BE23," - ")</f>
        <v>0.16335023942766375</v>
      </c>
      <c r="J23" s="1154">
        <f>IF(ISNUMBER((('Resol  Asuntos'!D23/NºAsuntos!G23)-Datos!BF23)/Datos!BF23),(('Resol  Asuntos'!D23/NºAsuntos!G23)-Datos!BF23)/Datos!BF23," - ")</f>
        <v>0.24858721931842701</v>
      </c>
      <c r="K23" s="1154">
        <f>IF(ISNUMBER((((NºAsuntos!C23+NºAsuntos!E23)/NºAsuntos!G23)-Datos!BG23)/Datos!BG23),(((NºAsuntos!C23+NºAsuntos!E23)/NºAsuntos!G23)-Datos!BG23)/Datos!BG23," - ")</f>
        <v>5.7975073754787602E-2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-6.5175718849840261E-2</v>
      </c>
      <c r="C31" s="1092">
        <f>IF(ISNUMBER(
   IF(J_V="SI",(Datos!J31-Datos!T31)/Datos!T31,(Datos!J31+Datos!Z31-(Datos!T31+Datos!AH31))/(Datos!T31+Datos!AH31))
     ),IF(J_V="SI",(Datos!J31-Datos!T31)/Datos!T31,(Datos!J31+Datos!Z31-(Datos!T31+Datos!AH31))/(Datos!T31+Datos!AH31))," - ")</f>
        <v>0.15234567901234569</v>
      </c>
      <c r="D31" s="1092">
        <f>IF(ISNUMBER(
   IF(J_V="SI",(Datos!K31-Datos!U31)/Datos!U31,(Datos!K31+Datos!AA31-(Datos!U31+Datos!AI31))/(Datos!U31+Datos!AI31))
     ),IF(J_V="SI",(Datos!K31-Datos!U31)/Datos!U31,(Datos!K31+Datos!AA31-(Datos!U31+Datos!AI31))/(Datos!U31+Datos!AI31))," - ")</f>
        <v>-2.9880043620501635E-2</v>
      </c>
      <c r="E31" s="1092">
        <f>IF(ISNUMBER(
   IF(J_V="SI",(Datos!L31-Datos!V31)/Datos!V31,(Datos!L31+Datos!AB31-(Datos!V31+Datos!AJ31))/(Datos!V31+Datos!AJ31))
     ),IF(J_V="SI",(Datos!L31-Datos!V31)/Datos!V31,(Datos!L31+Datos!AB31-(Datos!V31+Datos!AJ31))/(Datos!V31+Datos!AJ31))," - ")</f>
        <v>6.7020335985853233E-2</v>
      </c>
      <c r="F31" s="1093">
        <f>IF(ISNUMBER((Datos!M31-Datos!W31)/Datos!W31),(Datos!M31-Datos!W31)/Datos!W31," - ")</f>
        <v>2.0080321285140562E-2</v>
      </c>
      <c r="G31" s="1094">
        <f>IF(ISNUMBER((Datos!N31-Datos!X31)/Datos!X31),(Datos!N31-Datos!X31)/Datos!X31," - ")</f>
        <v>-5.0356294536817101E-2</v>
      </c>
      <c r="H31" s="1095">
        <f>IF(ISNUMBER((Tasas!B31-Datos!BD31)/Datos!BD31),(Tasas!B31-Datos!BD31)/Datos!BD31," - ")</f>
        <v>-0.1581345996706732</v>
      </c>
      <c r="I31" s="1096">
        <f>IF(ISNUMBER((Tasas!C31-Datos!BE31)/Datos!BE31),(Tasas!C31-Datos!BE31)/Datos!BE31," - ")</f>
        <v>9.9884946154482207E-2</v>
      </c>
      <c r="J31" s="1097">
        <f>IF(ISNUMBER((Tasas!D31-Datos!BF31)/Datos!BF31),(Tasas!D31-Datos!BF31)/Datos!BF31," - ")</f>
        <v>-0.20053956834532372</v>
      </c>
      <c r="K31" s="1097">
        <f>IF(ISNUMBER((Tasas!E31-Datos!BG31)/Datos!BG31),(Tasas!E31-Datos!BG31)/Datos!BG31," - ")</f>
        <v>5.1696312687968017E-2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qSS12SbFATUX/XkbZ3Nb4PPgJxd7MKMSzf1K3x0Q1PtAld9M0HpXsrI2tdW2GpOw/G/rXw+Hs6ic0JQUmtUQ==" saltValue="p8h6ufkz1SZFC2OiqnvKM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LA RIOJA</v>
      </c>
    </row>
    <row r="3" spans="1:7" ht="19.5">
      <c r="A3" s="491" t="s">
        <v>17</v>
      </c>
      <c r="B3" s="439" t="str">
        <f>Criterios!A10 &amp;"  "&amp;Criterios!B10</f>
        <v>Provincias  LA RIOJA</v>
      </c>
    </row>
    <row r="4" spans="1:7" ht="11.25" customHeight="1" thickBot="1">
      <c r="B4" s="439" t="str">
        <f>Criterios!A11 &amp;"  "&amp;Criterios!B11</f>
        <v>Resumenes por Partidos Judiciales  LOGROÑO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0.95953193564115069</v>
      </c>
      <c r="C9" s="498">
        <f>IF(ISNUMBER(NºAsuntos!I9/NºAsuntos!G9),NºAsuntos!I9/NºAsuntos!G9," - ")</f>
        <v>1.4629065040650406</v>
      </c>
      <c r="D9" s="499">
        <f>IF(ISNUMBER('Resol  Asuntos'!D9/NºAsuntos!G9),'Resol  Asuntos'!D9/NºAsuntos!G9," - ")</f>
        <v>0.26727642276422764</v>
      </c>
      <c r="E9" s="500">
        <f>IF(ISNUMBER((NºAsuntos!C9+NºAsuntos!E9)/NºAsuntos!G9),(NºAsuntos!C9+NºAsuntos!E9)/NºAsuntos!G9," - ")</f>
        <v>2.4629065040650406</v>
      </c>
      <c r="G9" s="523"/>
    </row>
    <row r="10" spans="1:7">
      <c r="A10" s="450" t="str">
        <f>Datos!A10</f>
        <v>Jdos. Violencia contra la mujer</v>
      </c>
      <c r="B10" s="497">
        <f>IF(ISNUMBER(NºAsuntos!G10/NºAsuntos!E10),NºAsuntos!G10/NºAsuntos!E10," - ")</f>
        <v>0.80851063829787229</v>
      </c>
      <c r="C10" s="498">
        <f>IF(ISNUMBER(NºAsuntos!I10/NºAsuntos!G10),NºAsuntos!I10/NºAsuntos!G10," - ")</f>
        <v>3.5789473684210527</v>
      </c>
      <c r="D10" s="499">
        <f>IF(ISNUMBER('Resol  Asuntos'!D10/NºAsuntos!G10),'Resol  Asuntos'!D10/NºAsuntos!G10," - ")</f>
        <v>0.63157894736842102</v>
      </c>
      <c r="E10" s="500">
        <f>IF(ISNUMBER((NºAsuntos!C10+NºAsuntos!E10)/NºAsuntos!G10),(NºAsuntos!C10+NºAsuntos!E10)/NºAsuntos!G10," - ")</f>
        <v>4.5789473684210522</v>
      </c>
      <c r="G10" s="523"/>
    </row>
    <row r="11" spans="1:7">
      <c r="A11" s="450" t="str">
        <f>Datos!A11</f>
        <v xml:space="preserve">Jdos. Familia                                   </v>
      </c>
      <c r="B11" s="497">
        <f>IF(ISNUMBER(NºAsuntos!G11/NºAsuntos!E11),NºAsuntos!G11/NºAsuntos!E11," - ")</f>
        <v>0.88972431077694236</v>
      </c>
      <c r="C11" s="498">
        <f>IF(ISNUMBER(NºAsuntos!I11/NºAsuntos!G11),NºAsuntos!I11/NºAsuntos!G11," - ")</f>
        <v>2.0028169014084507</v>
      </c>
      <c r="D11" s="499">
        <f>IF(ISNUMBER('Resol  Asuntos'!D11/NºAsuntos!G11),'Resol  Asuntos'!D11/NºAsuntos!G11," - ")</f>
        <v>0.35492957746478876</v>
      </c>
      <c r="E11" s="500">
        <f>IF(ISNUMBER((NºAsuntos!C11+NºAsuntos!E11)/NºAsuntos!G11),(NºAsuntos!C11+NºAsuntos!E11)/NºAsuntos!G11," - ")</f>
        <v>3.1380281690140843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0.94553464156988387</v>
      </c>
      <c r="C14" s="1156">
        <f>IF(ISNUMBER(NºAsuntos!I14/NºAsuntos!G14),NºAsuntos!I14/NºAsuntos!G14," - ")</f>
        <v>1.5785684032189751</v>
      </c>
      <c r="D14" s="1157">
        <f>IF(ISNUMBER('Resol  Asuntos'!D14/NºAsuntos!G14),'Resol  Asuntos'!D14/NºAsuntos!G14," - ")</f>
        <v>0.28631935620499788</v>
      </c>
      <c r="E14" s="1158">
        <f>IF(ISNUMBER((NºAsuntos!C14+NºAsuntos!E14)/NºAsuntos!G14),(NºAsuntos!C14+NºAsuntos!E14)/NºAsuntos!G14," - ")</f>
        <v>2.5988987717069039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0.98182919442761962</v>
      </c>
      <c r="C16" s="498">
        <f>IF(ISNUMBER(NºAsuntos!I16/NºAsuntos!G16),NºAsuntos!I16/NºAsuntos!G16," - ")</f>
        <v>1.0808143121529921</v>
      </c>
      <c r="D16" s="499">
        <f>IF(ISNUMBER('Resol  Asuntos'!D16/NºAsuntos!G16),'Resol  Asuntos'!D16/NºAsuntos!G16," - ")</f>
        <v>0.18260333127698952</v>
      </c>
      <c r="E16" s="500">
        <f>IF(ISNUMBER((NºAsuntos!C16+NºAsuntos!E16)/NºAsuntos!G16),(NºAsuntos!C16+NºAsuntos!E16)/NºAsuntos!G16," - ")</f>
        <v>2.0740283775447255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1.0572687224669604</v>
      </c>
      <c r="C18" s="498">
        <f>IF(ISNUMBER(NºAsuntos!I18/NºAsuntos!G18),NºAsuntos!I18/NºAsuntos!G18," - ")</f>
        <v>0.96250000000000002</v>
      </c>
      <c r="D18" s="499">
        <f>IF(ISNUMBER('Resol  Asuntos'!D18/NºAsuntos!G18),'Resol  Asuntos'!D18/NºAsuntos!G18," - ")</f>
        <v>0.18333333333333332</v>
      </c>
      <c r="E18" s="500">
        <f>IF(ISNUMBER((NºAsuntos!C18+NºAsuntos!E18)/NºAsuntos!G18),(NºAsuntos!C18+NºAsuntos!E18)/NºAsuntos!G18," - ")</f>
        <v>1.9624999999999999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f>IF(ISNUMBER(NºAsuntos!G20/NºAsuntos!E20),NºAsuntos!G20/NºAsuntos!E20," - ")</f>
        <v>0.77397260273972601</v>
      </c>
      <c r="C20" s="498">
        <f>IF(ISNUMBER(NºAsuntos!I20/NºAsuntos!G20),NºAsuntos!I20/NºAsuntos!G20," - ")</f>
        <v>1.4336283185840708</v>
      </c>
      <c r="D20" s="499" t="str">
        <f>IF(ISNUMBER('Resol  Asuntos'!D20/NºAsuntos!G20),'Resol  Asuntos'!D20/NºAsuntos!G20," - ")</f>
        <v xml:space="preserve"> - </v>
      </c>
      <c r="E20" s="500">
        <f>IF(ISNUMBER((NºAsuntos!C20+NºAsuntos!E20)/NºAsuntos!G20),(NºAsuntos!C20+NºAsuntos!E20)/NºAsuntos!G20," - ")</f>
        <v>2.4336283185840708</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0.96175115207373274</v>
      </c>
      <c r="C23" s="1156">
        <f>IF(ISNUMBER(NºAsuntos!I23/NºAsuntos!G23),NºAsuntos!I23/NºAsuntos!G23," - ")</f>
        <v>1.1054144705318638</v>
      </c>
      <c r="D23" s="1159">
        <f>IF(ISNUMBER('Resol  Asuntos'!D23/NºAsuntos!G23),'Resol  Asuntos'!D23/NºAsuntos!G23," - ")</f>
        <v>0.16291327264015332</v>
      </c>
      <c r="E23" s="1158">
        <f>IF(ISNUMBER((NºAsuntos!C23+NºAsuntos!E23)/NºAsuntos!G23),(NºAsuntos!C23+NºAsuntos!E23)/NºAsuntos!G23," - ")</f>
        <v>2.1001437470052706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0.95307478037283055</v>
      </c>
      <c r="C31" s="1099">
        <f>IF(ISNUMBER(NºAsuntos!I31/NºAsuntos!G31),NºAsuntos!I31/NºAsuntos!G31," - ")</f>
        <v>1.3565647482014389</v>
      </c>
      <c r="D31" s="1100">
        <f>IF(ISNUMBER('Resol  Asuntos'!D31/NºAsuntos!G31),'Resol  Asuntos'!D31/NºAsuntos!G31," - ")</f>
        <v>0.22841726618705036</v>
      </c>
      <c r="E31" s="1101">
        <f>IF(ISNUMBER((NºAsuntos!C31+NºAsuntos!E31)/NºAsuntos!G31),(NºAsuntos!C31+NºAsuntos!E31)/NºAsuntos!G31," - ")</f>
        <v>2.3648830935251799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G4BPIKGRxpCuHPHEsp/ZI55dXEy5fLcLzyXeevjR59F6FRCiimAIRCVwV8/lNtW154BxBC+RMKqUO493oc91Q==" saltValue="YdoJAIr4G33RDeg96h7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LA RIOJA</v>
      </c>
      <c r="G2" s="369"/>
      <c r="H2" s="368"/>
      <c r="I2" s="368"/>
      <c r="J2" s="368"/>
      <c r="K2" s="368"/>
      <c r="L2" s="368" t="str">
        <f>Criterios!A10 &amp;"  "&amp;Criterios!B10</f>
        <v>Provincias  LA RIOJA</v>
      </c>
      <c r="N2" s="368" t="str">
        <f>Criterios!A11 &amp;"  "&amp;Criterios!B11</f>
        <v>Resumenes por Partidos Judiciales  LOGROÑO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1 al 1</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317</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623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771</v>
      </c>
      <c r="Y9" s="374">
        <f>SUM(W9:X9)</f>
        <v>771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6213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526</v>
      </c>
      <c r="AJ9" s="243" t="str">
        <f>IF(ISNUMBER(Datos!BW9),Datos!BW9," - ")</f>
        <v xml:space="preserve"> - </v>
      </c>
      <c r="AK9" s="242" t="str">
        <f>IF(ISNUMBER(Datos!BX9),Datos!BX9," - ")</f>
        <v xml:space="preserve"> - </v>
      </c>
      <c r="AL9" s="266">
        <f>IF(ISNUMBER(NºAsuntos!G9/NºAsuntos!E9),NºAsuntos!G9/NºAsuntos!E9," - ")</f>
        <v>0.95953193564115069</v>
      </c>
      <c r="AM9" s="284">
        <f>IF(ISNUMBER(((NºAsuntos!I9/NºAsuntos!G9)*11)/factor_trimestre),((NºAsuntos!I9/NºAsuntos!G9)*11)/factor_trimestre," - ")</f>
        <v>4.3887195121951228</v>
      </c>
      <c r="AN9" s="267">
        <f>IF(ISNUMBER('Resol  Asuntos'!D9/NºAsuntos!G9),'Resol  Asuntos'!D9/NºAsuntos!G9," - ")</f>
        <v>0.26727642276422764</v>
      </c>
      <c r="AO9" s="268">
        <f>IF(ISNUMBER((NºAsuntos!C9+NºAsuntos!E9)/NºAsuntos!G9),(NºAsuntos!C9+NºAsuntos!E9)/NºAsuntos!G9," - ")</f>
        <v>2.4629065040650406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127</v>
      </c>
      <c r="G10" s="373">
        <f>IF(ISNUMBER(Datos!I10),Datos!I10," - ")</f>
        <v>127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38</v>
      </c>
      <c r="X10" s="240">
        <f>IF(ISNUMBER(Datos!Q10),Datos!Q10," - ")</f>
        <v>6</v>
      </c>
      <c r="Y10" s="374">
        <f t="shared" ref="Y10:Y13" si="0">SUM(W10:X10)</f>
        <v>44</v>
      </c>
      <c r="Z10" s="375" t="str">
        <f>IF(ISNUMBER(Datos!CC10),Datos!CC10," - ")</f>
        <v xml:space="preserve"> - </v>
      </c>
      <c r="AA10" s="372">
        <f>IF(ISNUMBER(Datos!L10),Datos!L10,"-")</f>
        <v>136</v>
      </c>
      <c r="AB10" s="374">
        <f>IF(ISNUMBER(Datos!R10),Datos!R10," - ")</f>
        <v>144</v>
      </c>
      <c r="AC10" s="374">
        <f t="shared" ref="AC10:AC13" si="1">IF(ISNUMBER(AA10+AB10),AA10+AB10," - ")</f>
        <v>280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24</v>
      </c>
      <c r="AJ10" s="245" t="str">
        <f>IF(ISNUMBER(Datos!BW10),Datos!BW10," - ")</f>
        <v xml:space="preserve"> - </v>
      </c>
      <c r="AK10" s="246" t="str">
        <f>IF(ISNUMBER(Datos!BX10),Datos!BX10," - ")</f>
        <v xml:space="preserve"> - </v>
      </c>
      <c r="AL10" s="266">
        <f>IF(ISNUMBER(NºAsuntos!G10/NºAsuntos!E10),NºAsuntos!G10/NºAsuntos!E10," - ")</f>
        <v>0.80851063829787229</v>
      </c>
      <c r="AM10" s="284">
        <f>IF(ISNUMBER(((NºAsuntos!I10/NºAsuntos!G10)*11)/factor_trimestre),((NºAsuntos!I10/NºAsuntos!G10)*11)/factor_trimestre," - ")</f>
        <v>10.736842105263159</v>
      </c>
      <c r="AN10" s="267">
        <f>IF(ISNUMBER('Resol  Asuntos'!D10/NºAsuntos!G10),'Resol  Asuntos'!D10/NºAsuntos!G10," - ")</f>
        <v>0.63157894736842102</v>
      </c>
      <c r="AO10" s="268">
        <f>IF(ISNUMBER((NºAsuntos!C10+NºAsuntos!E10)/NºAsuntos!G10),(NºAsuntos!C10+NºAsuntos!E10)/NºAsuntos!G10," - ")</f>
        <v>4.5789473684210522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18</v>
      </c>
      <c r="Y11" s="374">
        <f t="shared" si="0"/>
        <v>18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512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126</v>
      </c>
      <c r="AJ11" s="245" t="str">
        <f>IF(ISNUMBER(Datos!BW11),Datos!BW11," - ")</f>
        <v xml:space="preserve"> - </v>
      </c>
      <c r="AK11" s="246" t="str">
        <f>IF(ISNUMBER(Datos!BX11),Datos!BX11," - ")</f>
        <v xml:space="preserve"> - </v>
      </c>
      <c r="AL11" s="266">
        <f>IF(ISNUMBER(NºAsuntos!G11/NºAsuntos!E11),NºAsuntos!G11/NºAsuntos!E11," - ")</f>
        <v>0.88972431077694236</v>
      </c>
      <c r="AM11" s="284">
        <f>IF(ISNUMBER(((NºAsuntos!I11/NºAsuntos!G11)*11)/factor_trimestre),((NºAsuntos!I11/NºAsuntos!G11)*11)/factor_trimestre," - ")</f>
        <v>6.0084507042253525</v>
      </c>
      <c r="AN11" s="267">
        <f>IF(ISNUMBER('Resol  Asuntos'!D11/NºAsuntos!G11),'Resol  Asuntos'!D11/NºAsuntos!G11," - ")</f>
        <v>0.35492957746478876</v>
      </c>
      <c r="AO11" s="268">
        <f>IF(ISNUMBER((NºAsuntos!C11+NºAsuntos!E11)/NºAsuntos!G11),(NºAsuntos!C11+NºAsuntos!E11)/NºAsuntos!G11," - ")</f>
        <v>3.1380281690140843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v>
      </c>
      <c r="Y12" s="374">
        <f t="shared" si="0"/>
        <v>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127</v>
      </c>
      <c r="G14" s="1163">
        <f t="shared" si="5"/>
        <v>127</v>
      </c>
      <c r="H14" s="1162">
        <f t="shared" si="5"/>
        <v>0</v>
      </c>
      <c r="I14" s="1164">
        <f t="shared" si="5"/>
        <v>0</v>
      </c>
      <c r="J14" s="1164">
        <f t="shared" si="5"/>
        <v>0</v>
      </c>
      <c r="K14" s="1164">
        <f t="shared" si="5"/>
        <v>0</v>
      </c>
      <c r="L14" s="1164">
        <f t="shared" si="5"/>
        <v>674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38</v>
      </c>
      <c r="X14" s="1164">
        <f t="shared" si="6"/>
        <v>797</v>
      </c>
      <c r="Y14" s="1165">
        <f t="shared" si="6"/>
        <v>835</v>
      </c>
      <c r="Z14" s="1165">
        <f t="shared" si="6"/>
        <v>0</v>
      </c>
      <c r="AA14" s="1165">
        <f t="shared" si="6"/>
        <v>136</v>
      </c>
      <c r="AB14" s="1165">
        <f t="shared" si="6"/>
        <v>6928</v>
      </c>
      <c r="AC14" s="1165">
        <f t="shared" si="6"/>
        <v>280</v>
      </c>
      <c r="AD14" s="1165">
        <f t="shared" si="6"/>
        <v>0</v>
      </c>
      <c r="AE14" s="1169">
        <f t="shared" si="6"/>
        <v>0</v>
      </c>
      <c r="AF14" s="1162">
        <f t="shared" si="6"/>
        <v>0</v>
      </c>
      <c r="AG14" s="1170">
        <f t="shared" si="6"/>
        <v>0</v>
      </c>
      <c r="AH14" s="1167">
        <f t="shared" si="6"/>
        <v>0</v>
      </c>
      <c r="AI14" s="1162">
        <f t="shared" si="6"/>
        <v>676</v>
      </c>
      <c r="AJ14" s="1164">
        <f t="shared" si="6"/>
        <v>0</v>
      </c>
      <c r="AK14" s="1167">
        <f>SUBTOTAL(9,AK9:AK13)</f>
        <v>0</v>
      </c>
      <c r="AL14" s="1171">
        <f>IF(ISNUMBER(NºAsuntos!G14/NºAsuntos!E14),NºAsuntos!G14/NºAsuntos!E14," - ")</f>
        <v>0.94553464156988387</v>
      </c>
      <c r="AM14" s="1171">
        <f>IF(ISNUMBER(((NºAsuntos!I14/NºAsuntos!G14)*11)/factor_trimestre),((NºAsuntos!I14/NºAsuntos!G14)*11)/factor_trimestre," - ")</f>
        <v>4.7357052096569259</v>
      </c>
      <c r="AN14" s="1172">
        <f>IF(ISNUMBER('Resol  Asuntos'!D14/NºAsuntos!G14),'Resol  Asuntos'!D14/NºAsuntos!G14," - ")</f>
        <v>0.28631935620499788</v>
      </c>
      <c r="AO14" s="1173">
        <f>IF(ISNUMBER((NºAsuntos!C14+NºAsuntos!E14)/NºAsuntos!G14),(NºAsuntos!C14+NºAsuntos!E14)/NºAsuntos!G14," - ")</f>
        <v>2.5988987717069039</v>
      </c>
      <c r="AP14" s="1174" t="str">
        <f t="shared" si="2"/>
        <v xml:space="preserve"> - </v>
      </c>
      <c r="AQ14" s="1174">
        <f>IF(ISNUMBER((H14-W14+K14)/(F14)),(H14-W14+K14)/(F14)," - ")</f>
        <v>-0.29921259842519687</v>
      </c>
      <c r="AR14" s="1175">
        <f>IF(ISNUMBER((Datos!P14-Datos!Q14)/(Datos!R14-Datos!P14+Datos!Q14)),(Datos!P14-Datos!Q14)/(Datos!R14-Datos!P14+Datos!Q14)," - ")</f>
        <v>-1.7444334137001843E-2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507</v>
      </c>
      <c r="C16" s="173" t="str">
        <f>Datos!A16</f>
        <v xml:space="preserve">Jdos. Instrucción                               </v>
      </c>
      <c r="D16" s="173"/>
      <c r="E16" s="1402">
        <f>IF(ISNUMBER(Datos!AQ16),Datos!AQ16," - ")</f>
        <v>3</v>
      </c>
      <c r="F16" s="239">
        <f>IF(ISNUMBER(AA16+W16-Datos!J16-K16),AA16+W16-Datos!J16-K16," - ")</f>
        <v>1722</v>
      </c>
      <c r="G16" s="373">
        <f>IF(ISNUMBER(IF(D_I="SI",Datos!I16,Datos!I16+Datos!AC16)),IF(D_I="SI",Datos!I16,Datos!I16+Datos!AC16)," - ")</f>
        <v>1711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1621</v>
      </c>
      <c r="X16" s="240">
        <f>IF(ISNUMBER(Datos!Q16),Datos!Q16," - ")</f>
        <v>110</v>
      </c>
      <c r="Y16" s="374">
        <f>SUM(W16)</f>
        <v>1621</v>
      </c>
      <c r="Z16" s="375" t="str">
        <f>IF(ISNUMBER(Datos!CC16),Datos!CC16," - ")</f>
        <v xml:space="preserve"> - </v>
      </c>
      <c r="AA16" s="372">
        <f>IF(ISNUMBER(IF(D_I="SI",Datos!L16,Datos!L16+Datos!AF16)),IF(D_I="SI",Datos!L16,Datos!L16+Datos!AF16)," - ")</f>
        <v>1752</v>
      </c>
      <c r="AB16" s="374">
        <f>IF(ISNUMBER(Datos!R16),Datos!R16," - ")</f>
        <v>278</v>
      </c>
      <c r="AC16" s="374">
        <f t="shared" ref="AC16:AC22" si="8">IF(ISNUMBER(AA16+AB16),AA16+AB16," - ")</f>
        <v>2030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296</v>
      </c>
      <c r="AJ16" s="245" t="str">
        <f>IF(ISNUMBER(Datos!BW16),Datos!BW16," - ")</f>
        <v xml:space="preserve"> - </v>
      </c>
      <c r="AK16" s="246" t="str">
        <f>IF(ISNUMBER(Datos!BX16),Datos!BX16," - ")</f>
        <v xml:space="preserve"> - </v>
      </c>
      <c r="AL16" s="266">
        <f>IF(ISNUMBER(NºAsuntos!G16/NºAsuntos!E16),NºAsuntos!G16/NºAsuntos!E16," - ")</f>
        <v>0.98182919442761962</v>
      </c>
      <c r="AM16" s="284">
        <f>IF(ISNUMBER(((NºAsuntos!I16/NºAsuntos!G16)*11)/factor_trimestre),((NºAsuntos!I16/NºAsuntos!G16)*11)/factor_trimestre," - ")</f>
        <v>3.2424429364589766</v>
      </c>
      <c r="AN16" s="267">
        <f>IF(ISNUMBER('Resol  Asuntos'!D16/NºAsuntos!G16),'Resol  Asuntos'!D16/NºAsuntos!G16," - ")</f>
        <v>0.18260333127698952</v>
      </c>
      <c r="AO16" s="268">
        <f>IF(ISNUMBER((NºAsuntos!C16+NºAsuntos!E16)/NºAsuntos!G16),(NºAsuntos!C16+NºAsuntos!E16)/NºAsuntos!G16," - ")</f>
        <v>2.0740283775447255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240</v>
      </c>
      <c r="X18" s="240">
        <f>IF(ISNUMBER(Datos!Q18),Datos!Q18," - ")</f>
        <v>1</v>
      </c>
      <c r="Y18" s="374">
        <f t="shared" si="9"/>
        <v>241</v>
      </c>
      <c r="Z18" s="375" t="str">
        <f>IF(ISNUMBER(Datos!CC18),Datos!CC18," - ")</f>
        <v xml:space="preserve"> - </v>
      </c>
      <c r="AA18" s="372">
        <f>IF(ISNUMBER(Datos!L18),Datos!L18,"-")</f>
        <v>231</v>
      </c>
      <c r="AB18" s="374">
        <f>IF(ISNUMBER(Datos!R18),Datos!R18," - ")</f>
        <v>8</v>
      </c>
      <c r="AC18" s="374">
        <f t="shared" si="8"/>
        <v>239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44</v>
      </c>
      <c r="AJ18" s="245" t="str">
        <f>IF(ISNUMBER(Datos!BW18),Datos!BW18," - ")</f>
        <v xml:space="preserve"> - </v>
      </c>
      <c r="AK18" s="246" t="str">
        <f>IF(ISNUMBER(Datos!BX18),Datos!BX18," - ")</f>
        <v xml:space="preserve"> - </v>
      </c>
      <c r="AL18" s="266">
        <f>IF(ISNUMBER(NºAsuntos!G18/NºAsuntos!E18),NºAsuntos!G18/NºAsuntos!E18," - ")</f>
        <v>1.0572687224669604</v>
      </c>
      <c r="AM18" s="284">
        <f>IF(ISNUMBER(((NºAsuntos!I18/NºAsuntos!G18)*11)/factor_trimestre),((NºAsuntos!I18/NºAsuntos!G18)*11)/factor_trimestre," - ")</f>
        <v>2.8875000000000002</v>
      </c>
      <c r="AN18" s="267">
        <f>IF(ISNUMBER('Resol  Asuntos'!D18/NºAsuntos!G18),'Resol  Asuntos'!D18/NºAsuntos!G18," - ")</f>
        <v>0.18333333333333332</v>
      </c>
      <c r="AO18" s="268">
        <f>IF(ISNUMBER((NºAsuntos!C18+NºAsuntos!E18)/NºAsuntos!G18),(NºAsuntos!C18+NºAsuntos!E18)/NºAsuntos!G18," - ")</f>
        <v>1.9624999999999999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f>IF(ISNUMBER(Datos!L20+Datos!K20-Datos!J20-K20),Datos!L20+Datos!K20-Datos!J20-K20," - ")</f>
        <v>258</v>
      </c>
      <c r="G20" s="543">
        <f>IF(ISNUMBER(Datos!I20),Datos!I20," - ")</f>
        <v>258</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f>IF(ISNUMBER(Datos!K20),Datos!K20," - ")</f>
        <v>226</v>
      </c>
      <c r="X20" s="547" t="str">
        <f>IF(ISNUMBER(Datos!Q20),Datos!Q20," - ")</f>
        <v xml:space="preserve"> - </v>
      </c>
      <c r="Y20" s="549">
        <f t="shared" si="9"/>
        <v>226</v>
      </c>
      <c r="Z20" s="766" t="str">
        <f>IF(ISNUMBER(Datos!CC20),Datos!CC20," - ")</f>
        <v xml:space="preserve"> - </v>
      </c>
      <c r="AA20" s="551">
        <f>IF(ISNUMBER(Datos!L20),Datos!L20,"-")</f>
        <v>324</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f>IF(ISNUMBER(Datos!N20),Datos!N20," - ")</f>
        <v>201</v>
      </c>
      <c r="AJ20" s="794" t="str">
        <f>IF(ISNUMBER(Datos!BW20),Datos!BW20," - ")</f>
        <v xml:space="preserve"> - </v>
      </c>
      <c r="AK20" s="795" t="str">
        <f>IF(ISNUMBER(Datos!BX20),Datos!BX20," - ")</f>
        <v xml:space="preserve"> - </v>
      </c>
      <c r="AL20" s="763">
        <f>IF(ISNUMBER(NºAsuntos!G20/NºAsuntos!E20),NºAsuntos!G20/NºAsuntos!E20," - ")</f>
        <v>0.77397260273972601</v>
      </c>
      <c r="AM20" s="764">
        <f>IF(ISNUMBER(((NºAsuntos!I20/NºAsuntos!G20)*11)/factor_trimestre),((NºAsuntos!I20/NºAsuntos!G20)*11)/factor_trimestre," - ")</f>
        <v>4.3008849557522124</v>
      </c>
      <c r="AN20" s="796" t="str">
        <f>IF(ISNUMBER('Resol  Asuntos'!D20/NºAsuntos!G20),'Resol  Asuntos'!D20/NºAsuntos!G20," - ")</f>
        <v xml:space="preserve"> - </v>
      </c>
      <c r="AO20" s="797">
        <f>IF(ISNUMBER((NºAsuntos!C20+NºAsuntos!E20)/NºAsuntos!G20),(NºAsuntos!C20+NºAsuntos!E20)/NºAsuntos!G20," - ")</f>
        <v>2.4336283185840708</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1980</v>
      </c>
      <c r="G23" s="1163">
        <f>SUBTOTAL(9,G16:G22)</f>
        <v>2213</v>
      </c>
      <c r="H23" s="1162">
        <f t="shared" ref="H23:O23" si="13">SUBTOTAL(9,H15:H22)</f>
        <v>0</v>
      </c>
      <c r="I23" s="1164">
        <f t="shared" si="13"/>
        <v>0</v>
      </c>
      <c r="J23" s="1164">
        <f t="shared" si="13"/>
        <v>0</v>
      </c>
      <c r="K23" s="1164">
        <f t="shared" si="13"/>
        <v>0</v>
      </c>
      <c r="L23" s="1164">
        <f t="shared" si="13"/>
        <v>122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2087</v>
      </c>
      <c r="X23" s="1164">
        <f t="shared" si="14"/>
        <v>111</v>
      </c>
      <c r="Y23" s="1165">
        <f t="shared" si="14"/>
        <v>2088</v>
      </c>
      <c r="Z23" s="1165">
        <f t="shared" si="14"/>
        <v>0</v>
      </c>
      <c r="AA23" s="1165">
        <f t="shared" si="14"/>
        <v>2307</v>
      </c>
      <c r="AB23" s="1165">
        <f t="shared" si="14"/>
        <v>286</v>
      </c>
      <c r="AC23" s="1165">
        <f t="shared" si="14"/>
        <v>2269</v>
      </c>
      <c r="AD23" s="1165">
        <f t="shared" si="14"/>
        <v>0</v>
      </c>
      <c r="AE23" s="1169">
        <f t="shared" si="14"/>
        <v>0</v>
      </c>
      <c r="AF23" s="1162">
        <f t="shared" si="14"/>
        <v>0</v>
      </c>
      <c r="AG23" s="1170">
        <f t="shared" si="14"/>
        <v>0</v>
      </c>
      <c r="AH23" s="1167">
        <f t="shared" si="14"/>
        <v>0</v>
      </c>
      <c r="AI23" s="1162">
        <f t="shared" si="14"/>
        <v>541</v>
      </c>
      <c r="AJ23" s="1164">
        <f t="shared" si="14"/>
        <v>0</v>
      </c>
      <c r="AK23" s="1167">
        <f t="shared" si="14"/>
        <v>0</v>
      </c>
      <c r="AL23" s="1171">
        <f>IF(ISNUMBER(NºAsuntos!G23/NºAsuntos!E23),NºAsuntos!G23/NºAsuntos!E23," - ")</f>
        <v>0.96175115207373274</v>
      </c>
      <c r="AM23" s="1171">
        <f>IF(ISNUMBER(((NºAsuntos!I23/NºAsuntos!G23)*11)/factor_trimestre),((NºAsuntos!I23/NºAsuntos!G23)*11)/factor_trimestre," - ")</f>
        <v>3.3162434115955914</v>
      </c>
      <c r="AN23" s="1172">
        <f>IF(ISNUMBER('Resol  Asuntos'!D23/NºAsuntos!G23),'Resol  Asuntos'!D23/NºAsuntos!G23," - ")</f>
        <v>0.16291327264015332</v>
      </c>
      <c r="AO23" s="1173">
        <f>IF(ISNUMBER((NºAsuntos!C23+NºAsuntos!E23)/NºAsuntos!G23),(NºAsuntos!C23+NºAsuntos!E23)/NºAsuntos!G23," - ")</f>
        <v>2.1001437470052706</v>
      </c>
      <c r="AP23" s="1174" t="str">
        <f t="shared" si="2"/>
        <v xml:space="preserve"> - </v>
      </c>
      <c r="AQ23" s="1174">
        <f>IF(ISNUMBER((H23-W23+K23)/(F23)),(H23-W23+K23)/(F23)," - ")</f>
        <v>-1.0540404040404041</v>
      </c>
      <c r="AR23" s="1175">
        <f>IF(ISNUMBER((Datos!P23-Datos!Q23)/(Datos!R23-Datos!P23+Datos!Q23)),(Datos!P23-Datos!Q23)/(Datos!R23-Datos!P23+Datos!Q23)," - ")</f>
        <v>0.04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2107</v>
      </c>
      <c r="G31" s="1118">
        <f t="shared" si="20"/>
        <v>2340</v>
      </c>
      <c r="H31" s="1117">
        <f t="shared" si="20"/>
        <v>0</v>
      </c>
      <c r="I31" s="1119">
        <f t="shared" si="20"/>
        <v>0</v>
      </c>
      <c r="J31" s="1119">
        <f t="shared" si="20"/>
        <v>0</v>
      </c>
      <c r="K31" s="1180">
        <f t="shared" si="20"/>
        <v>0</v>
      </c>
      <c r="L31" s="1119">
        <f t="shared" si="20"/>
        <v>796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2125</v>
      </c>
      <c r="X31" s="1118">
        <f t="shared" si="21"/>
        <v>908</v>
      </c>
      <c r="Y31" s="1125">
        <f t="shared" si="21"/>
        <v>2923</v>
      </c>
      <c r="Z31" s="1125">
        <f t="shared" si="21"/>
        <v>0</v>
      </c>
      <c r="AA31" s="1125">
        <f t="shared" si="21"/>
        <v>2443</v>
      </c>
      <c r="AB31" s="1125">
        <f t="shared" si="21"/>
        <v>7214</v>
      </c>
      <c r="AC31" s="1125">
        <f t="shared" si="21"/>
        <v>2549</v>
      </c>
      <c r="AD31" s="1125">
        <f t="shared" si="21"/>
        <v>0</v>
      </c>
      <c r="AE31" s="1127">
        <f t="shared" si="21"/>
        <v>0</v>
      </c>
      <c r="AF31" s="1128">
        <f t="shared" si="21"/>
        <v>0</v>
      </c>
      <c r="AG31" s="1129">
        <f t="shared" si="21"/>
        <v>0</v>
      </c>
      <c r="AH31" s="1127">
        <f t="shared" si="21"/>
        <v>0</v>
      </c>
      <c r="AI31" s="1117">
        <f t="shared" si="21"/>
        <v>1217</v>
      </c>
      <c r="AJ31" s="1117">
        <f t="shared" si="21"/>
        <v>0</v>
      </c>
      <c r="AK31" s="1127">
        <f t="shared" si="21"/>
        <v>0</v>
      </c>
      <c r="AL31" s="1183">
        <f>IF(ISNUMBER(NºAsuntos!G31/NºAsuntos!E31),NºAsuntos!G31/NºAsuntos!E31," - ")</f>
        <v>0.95307478037283055</v>
      </c>
      <c r="AM31" s="1184">
        <f>IF(ISNUMBER(((NºAsuntos!I31/NºAsuntos!G31)*11)/factor_trimestre),((NºAsuntos!I31/NºAsuntos!G31)*11)/factor_trimestre," - ")</f>
        <v>4.0696942446043174</v>
      </c>
      <c r="AN31" s="1184">
        <f>IF(ISNUMBER('Resol  Asuntos'!D31/NºAsuntos!G31),'Resol  Asuntos'!D31/NºAsuntos!G31," - ")</f>
        <v>0.22841726618705036</v>
      </c>
      <c r="AO31" s="1185">
        <f>IF(ISNUMBER((NºAsuntos!C31+NºAsuntos!E31)/NºAsuntos!G31),(NºAsuntos!C31+NºAsuntos!E31)/NºAsuntos!G31," - ")</f>
        <v>2.3648830935251799</v>
      </c>
      <c r="AP31" s="1186" t="str">
        <f t="shared" si="2"/>
        <v xml:space="preserve"> - </v>
      </c>
      <c r="AQ31" s="1187">
        <f>IF(OR(ISNUMBER(FIND("01",Criterios!A8,1)),ISNUMBER(FIND("02",Criterios!A8,1)),ISNUMBER(FIND("03",Criterios!A8,1)),ISNUMBER(FIND("04",Criterios!A8,1))),(I31-W31+K31)/(F31-K31),(H31-W31+K31)/(F31-K31))</f>
        <v>-1.0085429520645468</v>
      </c>
      <c r="AR31" s="1188">
        <f>IF(ISNUMBER((Datos!P31-Datos!Q31)/(Datos!R31-Datos!P31+Datos!Q31)),(Datos!P31-Datos!Q31)/(Datos!R31-Datos!P31+Datos!Q31)," - ")</f>
        <v>-1.5288015288015287E-2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2.3295709014312749</v>
      </c>
      <c r="F33" s="276">
        <f>IF(ISNUMBER(STDEV(F8:F30)),STDEV(F8:F30),"-")</f>
        <v>860.9759965682357</v>
      </c>
      <c r="G33" s="277">
        <f>IF(ISNUMBER(STDEV(G8:G30)),STDEV(G8:G30),"-")</f>
        <v>865.64987973528559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831.26078940366244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251.82537239487638</v>
      </c>
      <c r="AJ33" s="276">
        <f t="shared" si="25"/>
        <v>0</v>
      </c>
      <c r="AK33" s="278">
        <f t="shared" si="25"/>
        <v>0</v>
      </c>
      <c r="AL33" s="273">
        <f t="shared" si="25"/>
        <v>9.3543680858196213E-2</v>
      </c>
      <c r="AM33" s="274">
        <f t="shared" si="25"/>
        <v>2.5419045323376164</v>
      </c>
      <c r="AN33" s="274">
        <f t="shared" si="25"/>
        <v>0.16343603121192041</v>
      </c>
      <c r="AO33" s="275">
        <f t="shared" si="25"/>
        <v>0.85752174202922704</v>
      </c>
      <c r="AP33" s="317" t="str">
        <f t="shared" si="25"/>
        <v>-</v>
      </c>
      <c r="AQ33" s="318">
        <f t="shared" si="25"/>
        <v>0.53374385997867391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p4SFfiXnkV4BxNSz72gMRuMTGKo+la7Zm1trTY5oZhrJWjOgxtxX4uk6QZN1mLk5wZ7D4QdF24KxeGBhFkR+w==" saltValue="12o7zCWsr/ZWH2T8nWIJ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LA RIOJA</v>
      </c>
      <c r="E2" s="287"/>
    </row>
    <row r="3" spans="2:20" ht="17.25" customHeight="1">
      <c r="C3" s="291"/>
      <c r="D3" s="286" t="str">
        <f>Criterios!A10 &amp;"  "&amp;Criterios!B10</f>
        <v>Provincias  LA RIOJA</v>
      </c>
      <c r="E3" s="287"/>
    </row>
    <row r="4" spans="2:20" ht="17.25" customHeight="1" thickBot="1">
      <c r="D4" s="286" t="str">
        <f>Criterios!A11 &amp;"  "&amp;Criterios!B11</f>
        <v>Resumenes por Partidos Judiciales  LOGROÑO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-1.1278195488721804E-2</v>
      </c>
      <c r="I9" s="395">
        <f>IF(ISNUMBER((Tasas!C9-Datos!BE9)/Datos!BE9),(Tasas!C9-Datos!BE9)/Datos!BE9," - ")</f>
        <v>8.9978509885309726E-2</v>
      </c>
      <c r="J9" s="394">
        <f>IF(ISNUMBER((Tasas!D9-Datos!BF9)/Datos!BF9),(Tasas!D9-Datos!BF9)/Datos!BF9," - ")</f>
        <v>-0.3368164638906343</v>
      </c>
      <c r="K9" s="396">
        <f>IF(ISNUMBER((Tasas!E9-Datos!BG9)/Datos!BG9),(Tasas!E9-Datos!BG9)/Datos!BG9," - ")</f>
        <v>5.1561330266738037E-2</v>
      </c>
      <c r="M9" t="e">
        <f>IF(Monitorios="SI",Datos!CE9,0)</f>
        <v>#REF!</v>
      </c>
      <c r="N9" t="e">
        <f>IF(Monitorios="SI",Datos!CF9,0)</f>
        <v>#REF!</v>
      </c>
      <c r="O9" t="e">
        <f>IF(Monitorios="SI",Datos!CG9,0)</f>
        <v>#REF!</v>
      </c>
      <c r="P9" t="e">
        <f>IF(Monitorios="SI",Datos!CH9,0)</f>
        <v>#REF!</v>
      </c>
      <c r="Q9">
        <f>IF(J_V="SI",0,Datos!AG9)</f>
        <v>65</v>
      </c>
      <c r="R9">
        <f>IF(J_V="SI",0,Datos!AH9)</f>
        <v>105</v>
      </c>
      <c r="S9">
        <f>IF(J_V="SI",0,Datos!AI9)</f>
        <v>118</v>
      </c>
      <c r="T9">
        <f>IF(J_V="SI",0,Datos!AJ9)</f>
        <v>52</v>
      </c>
    </row>
    <row r="10" spans="2:20" ht="14.25">
      <c r="B10" s="300" t="s">
        <v>317</v>
      </c>
      <c r="C10" s="7" t="str">
        <f>Datos!A10</f>
        <v>Jdos. Violencia contra la mujer</v>
      </c>
      <c r="D10" s="397">
        <f>IF(ISNUMBER((Datos!I10-Datos!S10)/Datos!S10),(Datos!I10-Datos!S10)/Datos!S10," - ")</f>
        <v>-0.23493975903614459</v>
      </c>
      <c r="E10" s="393">
        <f>IF(ISNUMBER((Datos!J10-Datos!T10)/Datos!T10),(Datos!J10-Datos!T10)/Datos!T10," - ")</f>
        <v>0.14634146341463414</v>
      </c>
      <c r="F10" s="393">
        <f>IF(ISNUMBER((Datos!K10-Datos!U10)/Datos!U10),(Datos!K10-Datos!U10)/Datos!U10," - ")</f>
        <v>-0.43283582089552236</v>
      </c>
      <c r="G10" s="394">
        <f>IF(ISNUMBER((Datos!L10-Datos!V10)/Datos!V10),(Datos!L10-Datos!V10)/Datos!V10," - ")</f>
        <v>-2.8571428571428571E-2</v>
      </c>
      <c r="H10" s="244">
        <f>IF(ISNUMBER((Datos!M10-Datos!W10)/Datos!W10),(Datos!M10-Datos!W10)/Datos!W10," - ")</f>
        <v>-0.33333333333333331</v>
      </c>
      <c r="I10" s="395">
        <f>IF(ISNUMBER((Tasas!C10-Datos!BE10)/Datos!BE10),(Tasas!C10-Datos!BE10)/Datos!BE10," - ")</f>
        <v>0.71278195488721818</v>
      </c>
      <c r="J10" s="394">
        <f>IF(ISNUMBER((Tasas!D10-Datos!BF10)/Datos!BF10),(Tasas!D10-Datos!BF10)/Datos!BF10," - ")</f>
        <v>0.175438596491228</v>
      </c>
      <c r="K10" s="396">
        <f>IF(ISNUMBER((Tasas!E10-Datos!BG10)/Datos!BG10),(Tasas!E10-Datos!BG10)/Datos!BG10," - ")</f>
        <v>0.48207475209763534</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-0.24096385542168675</v>
      </c>
      <c r="I11" s="395">
        <f>IF(ISNUMBER((Tasas!C11-Datos!BE11)/Datos!BE11),(Tasas!C11-Datos!BE11)/Datos!BE11," - ")</f>
        <v>2.7692137074414987E-2</v>
      </c>
      <c r="J11" s="394">
        <f>IF(ISNUMBER((Tasas!D11-Datos!BF11)/Datos!BF11),(Tasas!D11-Datos!BF11)/Datos!BF11," - ")</f>
        <v>-0.12166161526118735</v>
      </c>
      <c r="K11" s="396">
        <f>IF(ISNUMBER((Tasas!E11-Datos!BG11)/Datos!BG11),(Tasas!E11-Datos!BG11)/Datos!BG11," - ")</f>
        <v>6.4153524791419753E-2</v>
      </c>
      <c r="M11" t="e">
        <f>IF(Monitorios="SI",Datos!CE11,0)</f>
        <v>#REF!</v>
      </c>
      <c r="N11" t="e">
        <f>IF(Monitorios="SI",Datos!CF11,0)</f>
        <v>#REF!</v>
      </c>
      <c r="O11" t="e">
        <f>IF(Monitorios="SI",Datos!CG11,0)</f>
        <v>#REF!</v>
      </c>
      <c r="P11" t="e">
        <f>IF(Monitorios="SI",Datos!CH11,0)</f>
        <v>#REF!</v>
      </c>
      <c r="Q11">
        <f>IF(J_V="SI",0,Datos!AG11)</f>
        <v>130</v>
      </c>
      <c r="R11">
        <f>IF(J_V="SI",0,Datos!AH11)</f>
        <v>90</v>
      </c>
      <c r="S11">
        <f>IF(J_V="SI",0,Datos!AI11)</f>
        <v>97</v>
      </c>
      <c r="T11">
        <f>IF(J_V="SI",0,Datos!AJ11)</f>
        <v>123</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-7.901907356948229E-2</v>
      </c>
      <c r="I14" s="402">
        <f>IF(ISNUMBER((Tasas!C14-Datos!BE14)/Datos!BE14),(Tasas!C14-Datos!BE14)/Datos!BE14," - ")</f>
        <v>8.5660735280303948E-2</v>
      </c>
      <c r="J14" s="400">
        <f>IF(ISNUMBER((Tasas!D14-Datos!BF14)/Datos!BF14),(Tasas!D14-Datos!BF14)/Datos!BF14," - ")</f>
        <v>-0.29594944566767223</v>
      </c>
      <c r="K14" s="403">
        <f>IF(ISNUMBER((Tasas!E14-Datos!BG14)/Datos!BG14),(Tasas!E14-Datos!BG14)/Datos!BG14," - ")</f>
        <v>5.9038920728761983E-2</v>
      </c>
      <c r="M14" t="e">
        <f>IF(Monitorios="SI",Datos!CE14,0)</f>
        <v>#REF!</v>
      </c>
      <c r="N14" t="e">
        <f>IF(Monitorios="SI",Datos!CF14,0)</f>
        <v>#REF!</v>
      </c>
      <c r="O14" t="e">
        <f>IF(Monitorios="SI",Datos!CG14,0)</f>
        <v>#REF!</v>
      </c>
      <c r="P14" t="e">
        <f>IF(Monitorios="SI",Datos!CH14,0)</f>
        <v>#REF!</v>
      </c>
      <c r="Q14">
        <f>IF(J_V="SI",0,Datos!AG14)</f>
        <v>195</v>
      </c>
      <c r="R14">
        <f>IF(J_V="SI",0,Datos!AH14)</f>
        <v>195</v>
      </c>
      <c r="S14">
        <f>IF(J_V="SI",0,Datos!AI14)</f>
        <v>215</v>
      </c>
      <c r="T14">
        <f>IF(J_V="SI",0,Datos!AJ14)</f>
        <v>175</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4.9049662783568364E-2</v>
      </c>
      <c r="E16" s="393">
        <f>IF(ISNUMBER(
   IF(D_I="SI",(Datos!J16-Datos!T16)/Datos!T16,(Datos!J16+Datos!AD16-(Datos!T16+Datos!AL16))/(Datos!T16+Datos!AL16))
     ),IF(D_I="SI",(Datos!J16-Datos!T16)/Datos!T16,(Datos!J16+Datos!AD16-(Datos!T16+Datos!AL16))/(Datos!T16+Datos!AL16))," - ")</f>
        <v>0.19033886085075702</v>
      </c>
      <c r="F16" s="393">
        <f>IF(ISNUMBER(
   IF(D_I="SI",(Datos!K16-Datos!U16)/Datos!U16,(Datos!K16+Datos!AE16-(Datos!U16+Datos!AM16))/(Datos!U16+Datos!AM16))
     ),IF(D_I="SI",(Datos!K16-Datos!U16)/Datos!U16,(Datos!K16+Datos!AE16-(Datos!U16+Datos!AM16))/(Datos!U16+Datos!AM16))," - ")</f>
        <v>5.5338541666666664E-2</v>
      </c>
      <c r="G16" s="394">
        <f>IF(ISNUMBER(
   IF(D_I="SI",(Datos!L16-Datos!V16)/Datos!V16,(Datos!L16+Datos!AF16-(Datos!V16+Datos!AN16))/(Datos!V16+Datos!AN16))
     ),IF(D_I="SI",(Datos!L16-Datos!V16)/Datos!V16,(Datos!L16+Datos!AF16-(Datos!V16+Datos!AN16))/(Datos!V16+Datos!AN16))," - ")</f>
        <v>0.24079320113314448</v>
      </c>
      <c r="H16" s="244">
        <f>IF(ISNUMBER((Datos!M16-Datos!W16)/Datos!W16),(Datos!M16-Datos!W16)/Datos!W16," - ")</f>
        <v>0.21311475409836064</v>
      </c>
      <c r="I16" s="395">
        <f>IF(ISNUMBER((Tasas!C16-Datos!BE16)/Datos!BE16),(Tasas!C16-Datos!BE16)/Datos!BE16," - ")</f>
        <v>0.17573001661968538</v>
      </c>
      <c r="J16" s="394">
        <f>IF(ISNUMBER((Tasas!D16-Datos!BF16)/Datos!BF16),(Tasas!D16-Datos!BF16)/Datos!BF16," - ")</f>
        <v>0.14950293787481936</v>
      </c>
      <c r="K16" s="396">
        <f>IF(ISNUMBER((Tasas!E16-Datos!BG16)/Datos!BG16),(Tasas!E16-Datos!BG16)/Datos!BG16," - ")</f>
        <v>5.5569114615208186E-2</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-5.4263565891472867E-2</v>
      </c>
      <c r="E18" s="393">
        <f>IF(ISNUMBER(
   IF(D_I="SI",(Datos!J18-Datos!T18)/Datos!T18,(Datos!J18+Datos!AD18-(Datos!T18+Datos!AL18))/(Datos!T18+Datos!AL18))
     ),IF(D_I="SI",(Datos!J18-Datos!T18)/Datos!T18,(Datos!J18+Datos!AD18-(Datos!T18+Datos!AL18))/(Datos!T18+Datos!AL18))," - ")</f>
        <v>7.0754716981132074E-2</v>
      </c>
      <c r="F18" s="393">
        <f>IF(ISNUMBER(
   IF(D_I="SI",(Datos!K18-Datos!U18)/Datos!U18,(Datos!K18+Datos!AE18-(Datos!U18+Datos!AM18))/(Datos!U18+Datos!AM18))
     ),IF(D_I="SI",(Datos!K18-Datos!U18)/Datos!U18,(Datos!K18+Datos!AE18-(Datos!U18+Datos!AM18))/(Datos!U18+Datos!AM18))," - ")</f>
        <v>0.19402985074626866</v>
      </c>
      <c r="G18" s="394">
        <f>IF(ISNUMBER(
   IF(D_I="SI",(Datos!L18-Datos!V18)/Datos!V18,(Datos!L18+Datos!AF18-(Datos!V18+Datos!AN18))/(Datos!V18+Datos!AN18))
     ),IF(D_I="SI",(Datos!L18-Datos!V18)/Datos!V18,(Datos!L18+Datos!AF18-(Datos!V18+Datos!AN18))/(Datos!V18+Datos!AN18))," - ")</f>
        <v>-0.14126394052044611</v>
      </c>
      <c r="H18" s="244">
        <f>IF(ISNUMBER((Datos!M18-Datos!W18)/Datos!W18),(Datos!M18-Datos!W18)/Datos!W18," - ")</f>
        <v>1.4444444444444444</v>
      </c>
      <c r="I18" s="395">
        <f>IF(ISNUMBER((Tasas!C18-Datos!BE18)/Datos!BE18),(Tasas!C18-Datos!BE18)/Datos!BE18," - ")</f>
        <v>-0.28080855018587358</v>
      </c>
      <c r="J18" s="394">
        <f>IF(ISNUMBER((Tasas!D18-Datos!BF18)/Datos!BF18),(Tasas!D18-Datos!BF18)/Datos!BF18," - ")</f>
        <v>1.0472222222222223</v>
      </c>
      <c r="K18" s="396">
        <f>IF(ISNUMBER((Tasas!E18-Datos!BG18)/Datos!BG18),(Tasas!E18-Datos!BG18)/Datos!BG18," - ")</f>
        <v>-0.16071808510638294</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f>IF(ISNUMBER((Datos!I20-Datos!S20)/Datos!S20),(Datos!I20-Datos!S20)/Datos!S20," - ")</f>
        <v>-4.4444444444444446E-2</v>
      </c>
      <c r="E20" s="393">
        <f>IF(ISNUMBER((Datos!J20-Datos!T20)/Datos!T20),(Datos!J20-Datos!T20)/Datos!T20," - ")</f>
        <v>0.2807017543859649</v>
      </c>
      <c r="F20" s="393">
        <f>IF(ISNUMBER((Datos!K20-Datos!U20)/Datos!U20),(Datos!K20-Datos!U20)/Datos!U20," - ")</f>
        <v>-0.16605166051660517</v>
      </c>
      <c r="G20" s="394">
        <f>IF(ISNUMBER((Datos!L20-Datos!V20)/Datos!V20),(Datos!L20-Datos!V20)/Datos!V20," - ")</f>
        <v>0.42731277533039647</v>
      </c>
      <c r="H20" s="244" t="str">
        <f>IF(ISNUMBER((Datos!M20-Datos!W20)/Datos!W20),(Datos!M20-Datos!W20)/Datos!W20," - ")</f>
        <v xml:space="preserve"> - </v>
      </c>
      <c r="I20" s="395">
        <f>IF(ISNUMBER((Tasas!C20-Datos!BE20)/Datos!BE20),(Tasas!C20-Datos!BE20)/Datos!BE20," - ")</f>
        <v>0.71151222174574091</v>
      </c>
      <c r="J20" s="394" t="str">
        <f>IF(ISNUMBER((Tasas!D20-Datos!BF20)/Datos!BF20),(Tasas!D20-Datos!BF20)/Datos!BF20," - ")</f>
        <v xml:space="preserve"> - </v>
      </c>
      <c r="K20" s="396">
        <f>IF(ISNUMBER((Tasas!E20-Datos!BG20)/Datos!BG20),(Tasas!E20-Datos!BG20)/Datos!BG20," - ")</f>
        <v>0.32432384404876141</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2.5011579434923575E-2</v>
      </c>
      <c r="E23" s="399">
        <f>IF(ISNUMBER(
   IF(D_I="SI",(Datos!J23-Datos!T23)/Datos!T23,(Datos!J23+Datos!AD23-(Datos!T23+Datos!AL23))/(Datos!T23+Datos!AL23))
     ),IF(D_I="SI",(Datos!J23-Datos!T23)/Datos!T23,(Datos!J23+Datos!AD23-(Datos!T23+Datos!AL23))/(Datos!T23+Datos!AL23))," - ")</f>
        <v>0.18773946360153257</v>
      </c>
      <c r="F23" s="399">
        <f>IF(ISNUMBER(
   IF(D_I="SI",(Datos!K23-Datos!U23)/Datos!U23,(Datos!K23+Datos!AE23-(Datos!U23+Datos!AM23))/(Datos!U23+Datos!AM23))
     ),IF(D_I="SI",(Datos!K23-Datos!U23)/Datos!U23,(Datos!K23+Datos!AE23-(Datos!U23+Datos!AM23))/(Datos!U23+Datos!AM23))," - ")</f>
        <v>3.9342629482071713E-2</v>
      </c>
      <c r="G23" s="400">
        <f>IF(ISNUMBER(
   IF(D_I="SI",(Datos!L23-Datos!V23)/Datos!V23,(Datos!L23+Datos!AF23-(Datos!V23+Datos!AN23))/(Datos!V23+Datos!AN23))
     ),IF(D_I="SI",(Datos!L23-Datos!V23)/Datos!V23,(Datos!L23+Datos!AF23-(Datos!V23+Datos!AN23))/(Datos!V23+Datos!AN23))," - ")</f>
        <v>0.20911949685534592</v>
      </c>
      <c r="H23" s="401">
        <f>IF(ISNUMBER((Datos!M23-Datos!W23)/Datos!W23),(Datos!M23-Datos!W23)/Datos!W23," - ")</f>
        <v>0.29770992366412213</v>
      </c>
      <c r="I23" s="402">
        <f>IF(ISNUMBER((Tasas!C23-Datos!BE23)/Datos!BE23),(Tasas!C23-Datos!BE23)/Datos!BE23," - ")</f>
        <v>0.16335023942766375</v>
      </c>
      <c r="J23" s="400">
        <f>IF(ISNUMBER((Tasas!D23-Datos!BF23)/Datos!BF23),(Tasas!D23-Datos!BF23)/Datos!BF23," - ")</f>
        <v>0.24858721931842701</v>
      </c>
      <c r="K23" s="403">
        <f>IF(ISNUMBER((Tasas!E23-Datos!BG23)/Datos!BG23),(Tasas!E23-Datos!BG23)/Datos!BG23," - ")</f>
        <v>5.7975073754787602E-2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-6.5175718849840261E-2</v>
      </c>
      <c r="E31" s="409">
        <f>IF(ISNUMBER(
   IF(J_V="SI",(Datos!J31-Datos!T31)/Datos!T31,(Datos!J31+Datos!Z31-(Datos!T31+Datos!AH31))/(Datos!T31+Datos!AH31))
     ),IF(J_V="SI",(Datos!J31-Datos!T31)/Datos!T31,(Datos!J31+Datos!Z31-(Datos!T31+Datos!AH31))/(Datos!T31+Datos!AH31))," - ")</f>
        <v>0.15234567901234569</v>
      </c>
      <c r="F31" s="409">
        <f>IF(ISNUMBER(
   IF(J_V="SI",(Datos!K31-Datos!U31)/Datos!U31,(Datos!K31+Datos!AA31-(Datos!U31+Datos!AI31))/(Datos!U31+Datos!AI31))
     ),IF(J_V="SI",(Datos!K31-Datos!U31)/Datos!U31,(Datos!K31+Datos!AA31-(Datos!U31+Datos!AI31))/(Datos!U31+Datos!AI31))," - ")</f>
        <v>-2.9880043620501635E-2</v>
      </c>
      <c r="G31" s="410">
        <f>IF(ISNUMBER(
   IF(J_V="SI",(Datos!L31-Datos!V31)/Datos!V31,(Datos!L31+Datos!AB31-(Datos!V31+Datos!AJ31))/(Datos!V31+Datos!AJ31))
     ),IF(J_V="SI",(Datos!L31-Datos!V31)/Datos!V31,(Datos!L31+Datos!AB31-(Datos!V31+Datos!AJ31))/(Datos!V31+Datos!AJ31))," - ")</f>
        <v>6.7020335985853233E-2</v>
      </c>
      <c r="H31" s="411">
        <f>IF(ISNUMBER((Datos!M31-Datos!W31)/Datos!W31),(Datos!M31-Datos!W31)/Datos!W31," - ")</f>
        <v>2.0080321285140562E-2</v>
      </c>
      <c r="I31" s="408">
        <f>IF(ISNUMBER((Tasas!C31-Datos!BE31)/Datos!BE31),(Tasas!C31-Datos!BE31)/Datos!BE31," - ")</f>
        <v>9.9884946154482207E-2</v>
      </c>
      <c r="J31" s="409">
        <f>IF(ISNUMBER((Tasas!D31-Datos!BF31)/Datos!BF31),(Tasas!D31-Datos!BF31)/Datos!BF31," - ")</f>
        <v>-0.20053956834532372</v>
      </c>
      <c r="K31" s="410">
        <f>IF(ISNUMBER((Tasas!E31-Datos!BG31)/Datos!BG31),(Tasas!E31-Datos!BG31)/Datos!BG31," - ")</f>
        <v>5.1696312687968017E-2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0.11143490152357591</v>
      </c>
      <c r="E33" s="303">
        <f t="shared" si="1"/>
        <v>7.6253971454236499E-2</v>
      </c>
      <c r="F33" s="303">
        <f t="shared" si="1"/>
        <v>0.24389336515774865</v>
      </c>
      <c r="G33" s="304">
        <f t="shared" si="1"/>
        <v>0.22638474614462301</v>
      </c>
      <c r="H33" s="310">
        <f t="shared" si="1"/>
        <v>0.59972736223615741</v>
      </c>
      <c r="I33" s="302">
        <f t="shared" si="1"/>
        <v>0.340513286522174</v>
      </c>
      <c r="J33" s="303">
        <f t="shared" si="1"/>
        <v>0.46907997787308436</v>
      </c>
      <c r="K33" s="304">
        <f t="shared" si="1"/>
        <v>0.19678912813004176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wNK4Jizk8hSfj9+p2hvPn4ST24rHtZtSM6a+UU3k7nrw7OTPtPMBccX3e9w1z5hMbbnk8aD9mOzwA3jUG36JA==" saltValue="0ziLvTIuDiec7mptSKCr5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